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anchunguang\Desktop\"/>
    </mc:Choice>
  </mc:AlternateContent>
  <bookViews>
    <workbookView xWindow="0" yWindow="0" windowWidth="28800" windowHeight="11910" firstSheet="3" activeTab="8"/>
  </bookViews>
  <sheets>
    <sheet name="土方开挖" sheetId="1" r:id="rId1"/>
    <sheet name="基础钢筋量" sheetId="3" r:id="rId2"/>
    <sheet name="柱工程量计算" sheetId="2" r:id="rId3"/>
    <sheet name="梁的工程量的计算" sheetId="4" r:id="rId4"/>
    <sheet name="板的工程量计算" sheetId="5" r:id="rId5"/>
    <sheet name="工程量统计" sheetId="6" r:id="rId6"/>
    <sheet name="施工天数计算" sheetId="7" r:id="rId7"/>
    <sheet name="排计划" sheetId="8" r:id="rId8"/>
    <sheet name="流水施工图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0" i="8" l="1"/>
  <c r="H29" i="8"/>
  <c r="H30" i="8" s="1"/>
  <c r="H31" i="8" s="1"/>
  <c r="H32" i="8" s="1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B28" i="8"/>
  <c r="H33" i="8" l="1"/>
  <c r="H34" i="8" l="1"/>
  <c r="H35" i="8" l="1"/>
  <c r="H36" i="8" l="1"/>
  <c r="H37" i="8" l="1"/>
  <c r="H38" i="8" l="1"/>
  <c r="H39" i="8" l="1"/>
  <c r="H40" i="8" l="1"/>
  <c r="H41" i="8" l="1"/>
  <c r="H42" i="8" l="1"/>
  <c r="D24" i="8"/>
  <c r="D99" i="8" s="1"/>
  <c r="C24" i="8"/>
  <c r="D92" i="8" s="1"/>
  <c r="D23" i="8"/>
  <c r="D98" i="8" s="1"/>
  <c r="C23" i="8"/>
  <c r="D91" i="8" s="1"/>
  <c r="D22" i="8"/>
  <c r="D97" i="8" s="1"/>
  <c r="C22" i="8"/>
  <c r="D90" i="8" s="1"/>
  <c r="D21" i="8"/>
  <c r="C21" i="8"/>
  <c r="D89" i="8" s="1"/>
  <c r="D20" i="8"/>
  <c r="D95" i="8" s="1"/>
  <c r="C20" i="8"/>
  <c r="D88" i="8" s="1"/>
  <c r="C39" i="7"/>
  <c r="D19" i="8"/>
  <c r="D94" i="8" s="1"/>
  <c r="D18" i="8"/>
  <c r="D93" i="8" s="1"/>
  <c r="C18" i="8"/>
  <c r="D86" i="8" s="1"/>
  <c r="D17" i="8"/>
  <c r="C17" i="8"/>
  <c r="D16" i="8"/>
  <c r="C16" i="8"/>
  <c r="D15" i="8"/>
  <c r="C15" i="8"/>
  <c r="E23" i="7"/>
  <c r="C14" i="8" s="1"/>
  <c r="D14" i="8"/>
  <c r="D13" i="8"/>
  <c r="C13" i="8"/>
  <c r="D12" i="8"/>
  <c r="C12" i="8"/>
  <c r="D11" i="8"/>
  <c r="C11" i="8"/>
  <c r="D10" i="8"/>
  <c r="C10" i="8"/>
  <c r="D9" i="8"/>
  <c r="D43" i="8" s="1"/>
  <c r="C9" i="8"/>
  <c r="D36" i="8" s="1"/>
  <c r="D8" i="8"/>
  <c r="D42" i="8" s="1"/>
  <c r="C8" i="8"/>
  <c r="D35" i="8" s="1"/>
  <c r="D7" i="8"/>
  <c r="D41" i="8" s="1"/>
  <c r="C7" i="8"/>
  <c r="D34" i="8" s="1"/>
  <c r="D6" i="8"/>
  <c r="D40" i="8" s="1"/>
  <c r="C6" i="8"/>
  <c r="D33" i="8" s="1"/>
  <c r="D5" i="8"/>
  <c r="D39" i="8" s="1"/>
  <c r="C5" i="8"/>
  <c r="D32" i="8" s="1"/>
  <c r="D4" i="8"/>
  <c r="D38" i="8" s="1"/>
  <c r="C4" i="8"/>
  <c r="D31" i="8" s="1"/>
  <c r="D3" i="8"/>
  <c r="D37" i="8" s="1"/>
  <c r="C3" i="8"/>
  <c r="D30" i="8" s="1"/>
  <c r="E30" i="8" s="1"/>
  <c r="D81" i="8" l="1"/>
  <c r="D67" i="8"/>
  <c r="D53" i="8"/>
  <c r="D76" i="8"/>
  <c r="D62" i="8"/>
  <c r="D48" i="8"/>
  <c r="C37" i="8"/>
  <c r="D59" i="8"/>
  <c r="D73" i="8"/>
  <c r="D45" i="8"/>
  <c r="D47" i="8"/>
  <c r="D75" i="8"/>
  <c r="D61" i="8"/>
  <c r="D44" i="8"/>
  <c r="D72" i="8"/>
  <c r="D58" i="8"/>
  <c r="D46" i="8"/>
  <c r="D60" i="8"/>
  <c r="D74" i="8"/>
  <c r="D55" i="8"/>
  <c r="D83" i="8"/>
  <c r="D69" i="8"/>
  <c r="D64" i="8"/>
  <c r="D50" i="8"/>
  <c r="D78" i="8"/>
  <c r="D79" i="8"/>
  <c r="D65" i="8"/>
  <c r="D51" i="8"/>
  <c r="D71" i="8"/>
  <c r="D57" i="8"/>
  <c r="D85" i="8"/>
  <c r="D63" i="8"/>
  <c r="D49" i="8"/>
  <c r="D77" i="8"/>
  <c r="D52" i="8"/>
  <c r="D80" i="8"/>
  <c r="D66" i="8"/>
  <c r="D68" i="8"/>
  <c r="D54" i="8"/>
  <c r="D82" i="8"/>
  <c r="D70" i="8"/>
  <c r="D84" i="8"/>
  <c r="D56" i="8"/>
  <c r="E21" i="8"/>
  <c r="D96" i="8"/>
  <c r="H43" i="8"/>
  <c r="E22" i="8"/>
  <c r="E24" i="8"/>
  <c r="E18" i="8"/>
  <c r="E23" i="8"/>
  <c r="E17" i="8"/>
  <c r="E10" i="8"/>
  <c r="E12" i="8"/>
  <c r="E7" i="8"/>
  <c r="E11" i="8"/>
  <c r="E14" i="8"/>
  <c r="E16" i="8"/>
  <c r="E15" i="8"/>
  <c r="E13" i="8"/>
  <c r="E9" i="8"/>
  <c r="E6" i="8"/>
  <c r="E4" i="8"/>
  <c r="C31" i="8" s="1"/>
  <c r="E8" i="8"/>
  <c r="E5" i="8"/>
  <c r="K49" i="7"/>
  <c r="K47" i="7"/>
  <c r="K45" i="7"/>
  <c r="K42" i="7"/>
  <c r="K40" i="7"/>
  <c r="K38" i="7"/>
  <c r="K32" i="7"/>
  <c r="K30" i="7"/>
  <c r="K28" i="7"/>
  <c r="K25" i="7"/>
  <c r="K23" i="7"/>
  <c r="K21" i="7"/>
  <c r="E49" i="7"/>
  <c r="E48" i="7"/>
  <c r="E47" i="7"/>
  <c r="E46" i="7"/>
  <c r="E45" i="7"/>
  <c r="E42" i="7"/>
  <c r="E41" i="7"/>
  <c r="E40" i="7"/>
  <c r="E39" i="7"/>
  <c r="C19" i="8" s="1"/>
  <c r="D87" i="8" s="1"/>
  <c r="E38" i="7"/>
  <c r="E32" i="7"/>
  <c r="E31" i="7"/>
  <c r="E30" i="7"/>
  <c r="E29" i="7"/>
  <c r="E28" i="7"/>
  <c r="E25" i="7"/>
  <c r="E24" i="7"/>
  <c r="E22" i="7"/>
  <c r="E21" i="7"/>
  <c r="K13" i="7"/>
  <c r="K15" i="7"/>
  <c r="K11" i="7"/>
  <c r="K6" i="7"/>
  <c r="K8" i="7"/>
  <c r="K4" i="7"/>
  <c r="E15" i="7"/>
  <c r="E14" i="7"/>
  <c r="E13" i="7"/>
  <c r="E12" i="7"/>
  <c r="E11" i="7"/>
  <c r="E8" i="7"/>
  <c r="E5" i="7"/>
  <c r="E6" i="7"/>
  <c r="E7" i="7"/>
  <c r="E4" i="7"/>
  <c r="I50" i="7"/>
  <c r="I49" i="7"/>
  <c r="I48" i="7"/>
  <c r="I47" i="7"/>
  <c r="I46" i="7"/>
  <c r="I45" i="7"/>
  <c r="C50" i="7"/>
  <c r="C49" i="7"/>
  <c r="C48" i="7"/>
  <c r="C47" i="7"/>
  <c r="C46" i="7"/>
  <c r="C45" i="7"/>
  <c r="I43" i="7"/>
  <c r="I42" i="7"/>
  <c r="I41" i="7"/>
  <c r="I40" i="7"/>
  <c r="I39" i="7"/>
  <c r="I38" i="7"/>
  <c r="C43" i="7"/>
  <c r="C42" i="7"/>
  <c r="C41" i="7"/>
  <c r="C40" i="7"/>
  <c r="C38" i="7"/>
  <c r="G19" i="6"/>
  <c r="F19" i="6"/>
  <c r="E19" i="6"/>
  <c r="G16" i="6"/>
  <c r="F16" i="6"/>
  <c r="E16" i="6"/>
  <c r="C32" i="8" l="1"/>
  <c r="E31" i="8"/>
  <c r="C38" i="8"/>
  <c r="E37" i="8"/>
  <c r="H44" i="8"/>
  <c r="E20" i="8"/>
  <c r="E19" i="8"/>
  <c r="C39" i="8" l="1"/>
  <c r="E38" i="8"/>
  <c r="C33" i="8"/>
  <c r="E32" i="8"/>
  <c r="H45" i="8"/>
  <c r="G21" i="6"/>
  <c r="F21" i="6"/>
  <c r="E21" i="6"/>
  <c r="G20" i="6"/>
  <c r="F20" i="6"/>
  <c r="E20" i="6"/>
  <c r="G18" i="6"/>
  <c r="F18" i="6"/>
  <c r="E18" i="6"/>
  <c r="G17" i="6"/>
  <c r="F17" i="6"/>
  <c r="E10" i="6"/>
  <c r="C21" i="7" s="1"/>
  <c r="E17" i="6"/>
  <c r="G15" i="6"/>
  <c r="I31" i="7" s="1"/>
  <c r="F15" i="6"/>
  <c r="E15" i="6"/>
  <c r="I29" i="7" s="1"/>
  <c r="G14" i="6"/>
  <c r="I30" i="7" s="1"/>
  <c r="F14" i="6"/>
  <c r="E14" i="6"/>
  <c r="I28" i="7" s="1"/>
  <c r="G13" i="6"/>
  <c r="C30" i="7" s="1"/>
  <c r="F13" i="6"/>
  <c r="E13" i="6"/>
  <c r="C28" i="7" s="1"/>
  <c r="G12" i="6"/>
  <c r="I24" i="7" s="1"/>
  <c r="F12" i="6"/>
  <c r="E12" i="6"/>
  <c r="I22" i="7" s="1"/>
  <c r="G11" i="6"/>
  <c r="I23" i="7" s="1"/>
  <c r="F11" i="6"/>
  <c r="E11" i="6"/>
  <c r="I21" i="7" s="1"/>
  <c r="G10" i="6"/>
  <c r="C23" i="7" s="1"/>
  <c r="O3" i="2"/>
  <c r="G9" i="6"/>
  <c r="I14" i="7" s="1"/>
  <c r="F9" i="6"/>
  <c r="E9" i="6"/>
  <c r="I12" i="7" s="1"/>
  <c r="G8" i="6"/>
  <c r="I13" i="7" s="1"/>
  <c r="F8" i="6"/>
  <c r="E6" i="6"/>
  <c r="I5" i="7" s="1"/>
  <c r="F6" i="6"/>
  <c r="G6" i="6"/>
  <c r="I7" i="7" s="1"/>
  <c r="L101" i="5"/>
  <c r="G5" i="6"/>
  <c r="I6" i="7" s="1"/>
  <c r="F5" i="6"/>
  <c r="J330" i="5"/>
  <c r="J322" i="5"/>
  <c r="J314" i="5"/>
  <c r="J306" i="5"/>
  <c r="J258" i="5"/>
  <c r="J264" i="5"/>
  <c r="J270" i="5"/>
  <c r="J276" i="5"/>
  <c r="J282" i="5"/>
  <c r="J288" i="5"/>
  <c r="J294" i="5"/>
  <c r="J300" i="5"/>
  <c r="J252" i="5"/>
  <c r="J246" i="5"/>
  <c r="J210" i="5"/>
  <c r="J203" i="5"/>
  <c r="J195" i="5"/>
  <c r="J187" i="5"/>
  <c r="J145" i="5"/>
  <c r="J151" i="5"/>
  <c r="J157" i="5"/>
  <c r="J163" i="5"/>
  <c r="J169" i="5"/>
  <c r="J175" i="5"/>
  <c r="J181" i="5"/>
  <c r="J139" i="5"/>
  <c r="J60" i="5"/>
  <c r="J101" i="5"/>
  <c r="J94" i="5"/>
  <c r="J86" i="5"/>
  <c r="J78" i="5"/>
  <c r="J48" i="5"/>
  <c r="J54" i="5"/>
  <c r="J66" i="5"/>
  <c r="J72" i="5"/>
  <c r="J36" i="5"/>
  <c r="J42" i="5"/>
  <c r="J30" i="5"/>
  <c r="L330" i="5"/>
  <c r="L322" i="5"/>
  <c r="L314" i="5"/>
  <c r="L306" i="5"/>
  <c r="L252" i="5"/>
  <c r="L258" i="5"/>
  <c r="L264" i="5"/>
  <c r="L270" i="5"/>
  <c r="L276" i="5"/>
  <c r="L282" i="5"/>
  <c r="L288" i="5"/>
  <c r="L294" i="5"/>
  <c r="L300" i="5"/>
  <c r="L246" i="5"/>
  <c r="H337" i="5"/>
  <c r="G337" i="5"/>
  <c r="F337" i="5"/>
  <c r="I337" i="5" s="1"/>
  <c r="H336" i="5"/>
  <c r="G336" i="5"/>
  <c r="F336" i="5"/>
  <c r="I336" i="5" s="1"/>
  <c r="H335" i="5"/>
  <c r="G335" i="5"/>
  <c r="F335" i="5"/>
  <c r="H334" i="5"/>
  <c r="G334" i="5"/>
  <c r="F334" i="5"/>
  <c r="H333" i="5"/>
  <c r="G333" i="5"/>
  <c r="F333" i="5"/>
  <c r="H332" i="5"/>
  <c r="G332" i="5"/>
  <c r="F332" i="5"/>
  <c r="I332" i="5" s="1"/>
  <c r="H331" i="5"/>
  <c r="G331" i="5"/>
  <c r="F331" i="5"/>
  <c r="I331" i="5" s="1"/>
  <c r="K330" i="5"/>
  <c r="H330" i="5"/>
  <c r="G330" i="5"/>
  <c r="F330" i="5"/>
  <c r="I330" i="5" s="1"/>
  <c r="H329" i="5"/>
  <c r="G329" i="5"/>
  <c r="F329" i="5"/>
  <c r="I329" i="5" s="1"/>
  <c r="H328" i="5"/>
  <c r="G328" i="5"/>
  <c r="F328" i="5"/>
  <c r="I328" i="5" s="1"/>
  <c r="H327" i="5"/>
  <c r="G327" i="5"/>
  <c r="F327" i="5"/>
  <c r="I327" i="5" s="1"/>
  <c r="H326" i="5"/>
  <c r="G326" i="5"/>
  <c r="F326" i="5"/>
  <c r="I326" i="5" s="1"/>
  <c r="H325" i="5"/>
  <c r="G325" i="5"/>
  <c r="F325" i="5"/>
  <c r="I325" i="5" s="1"/>
  <c r="H324" i="5"/>
  <c r="G324" i="5"/>
  <c r="F324" i="5"/>
  <c r="I324" i="5" s="1"/>
  <c r="H323" i="5"/>
  <c r="G323" i="5"/>
  <c r="F323" i="5"/>
  <c r="I323" i="5" s="1"/>
  <c r="K322" i="5"/>
  <c r="I322" i="5"/>
  <c r="H322" i="5"/>
  <c r="G322" i="5"/>
  <c r="F322" i="5"/>
  <c r="H321" i="5"/>
  <c r="G321" i="5"/>
  <c r="F321" i="5"/>
  <c r="I321" i="5" s="1"/>
  <c r="H320" i="5"/>
  <c r="G320" i="5"/>
  <c r="F320" i="5"/>
  <c r="I320" i="5" s="1"/>
  <c r="H319" i="5"/>
  <c r="G319" i="5"/>
  <c r="F319" i="5"/>
  <c r="I319" i="5" s="1"/>
  <c r="H318" i="5"/>
  <c r="G318" i="5"/>
  <c r="F318" i="5"/>
  <c r="H317" i="5"/>
  <c r="G317" i="5"/>
  <c r="F317" i="5"/>
  <c r="I317" i="5" s="1"/>
  <c r="H316" i="5"/>
  <c r="G316" i="5"/>
  <c r="F316" i="5"/>
  <c r="I316" i="5" s="1"/>
  <c r="H315" i="5"/>
  <c r="G315" i="5"/>
  <c r="F315" i="5"/>
  <c r="I315" i="5" s="1"/>
  <c r="K314" i="5"/>
  <c r="H314" i="5"/>
  <c r="G314" i="5"/>
  <c r="F314" i="5"/>
  <c r="I314" i="5" s="1"/>
  <c r="F313" i="5"/>
  <c r="I313" i="5" s="1"/>
  <c r="F312" i="5"/>
  <c r="H313" i="5"/>
  <c r="G313" i="5"/>
  <c r="H312" i="5"/>
  <c r="G312" i="5"/>
  <c r="H311" i="5"/>
  <c r="G311" i="5"/>
  <c r="F311" i="5"/>
  <c r="I311" i="5" s="1"/>
  <c r="H310" i="5"/>
  <c r="G310" i="5"/>
  <c r="F310" i="5"/>
  <c r="H309" i="5"/>
  <c r="G309" i="5"/>
  <c r="F309" i="5"/>
  <c r="I309" i="5" s="1"/>
  <c r="H308" i="5"/>
  <c r="G308" i="5"/>
  <c r="F308" i="5"/>
  <c r="H307" i="5"/>
  <c r="G307" i="5"/>
  <c r="F307" i="5"/>
  <c r="I307" i="5" s="1"/>
  <c r="K306" i="5"/>
  <c r="H306" i="5"/>
  <c r="G306" i="5"/>
  <c r="F306" i="5"/>
  <c r="I306" i="5" s="1"/>
  <c r="H305" i="5"/>
  <c r="G305" i="5"/>
  <c r="F305" i="5"/>
  <c r="I305" i="5" s="1"/>
  <c r="H304" i="5"/>
  <c r="G304" i="5"/>
  <c r="F304" i="5"/>
  <c r="I304" i="5" s="1"/>
  <c r="H303" i="5"/>
  <c r="G303" i="5"/>
  <c r="F303" i="5"/>
  <c r="H302" i="5"/>
  <c r="G302" i="5"/>
  <c r="F302" i="5"/>
  <c r="H301" i="5"/>
  <c r="G301" i="5"/>
  <c r="F301" i="5"/>
  <c r="K300" i="5"/>
  <c r="H300" i="5"/>
  <c r="I300" i="5" s="1"/>
  <c r="G300" i="5"/>
  <c r="F300" i="5"/>
  <c r="H299" i="5"/>
  <c r="G299" i="5"/>
  <c r="F299" i="5"/>
  <c r="I299" i="5" s="1"/>
  <c r="H298" i="5"/>
  <c r="G298" i="5"/>
  <c r="F298" i="5"/>
  <c r="I298" i="5" s="1"/>
  <c r="H297" i="5"/>
  <c r="G297" i="5"/>
  <c r="F297" i="5"/>
  <c r="I297" i="5" s="1"/>
  <c r="H296" i="5"/>
  <c r="G296" i="5"/>
  <c r="F296" i="5"/>
  <c r="I296" i="5" s="1"/>
  <c r="H295" i="5"/>
  <c r="G295" i="5"/>
  <c r="F295" i="5"/>
  <c r="I295" i="5" s="1"/>
  <c r="K294" i="5"/>
  <c r="H294" i="5"/>
  <c r="G294" i="5"/>
  <c r="F294" i="5"/>
  <c r="I294" i="5" s="1"/>
  <c r="H293" i="5"/>
  <c r="G293" i="5"/>
  <c r="F293" i="5"/>
  <c r="I293" i="5" s="1"/>
  <c r="H292" i="5"/>
  <c r="G292" i="5"/>
  <c r="F292" i="5"/>
  <c r="I292" i="5" s="1"/>
  <c r="H291" i="5"/>
  <c r="G291" i="5"/>
  <c r="F291" i="5"/>
  <c r="I291" i="5" s="1"/>
  <c r="H290" i="5"/>
  <c r="G290" i="5"/>
  <c r="F290" i="5"/>
  <c r="H289" i="5"/>
  <c r="G289" i="5"/>
  <c r="F289" i="5"/>
  <c r="I289" i="5" s="1"/>
  <c r="K288" i="5"/>
  <c r="I288" i="5"/>
  <c r="H288" i="5"/>
  <c r="G288" i="5"/>
  <c r="F288" i="5"/>
  <c r="H287" i="5"/>
  <c r="G287" i="5"/>
  <c r="F287" i="5"/>
  <c r="I287" i="5" s="1"/>
  <c r="H286" i="5"/>
  <c r="G286" i="5"/>
  <c r="F286" i="5"/>
  <c r="I286" i="5" s="1"/>
  <c r="H285" i="5"/>
  <c r="G285" i="5"/>
  <c r="F285" i="5"/>
  <c r="I285" i="5" s="1"/>
  <c r="H284" i="5"/>
  <c r="G284" i="5"/>
  <c r="F284" i="5"/>
  <c r="H283" i="5"/>
  <c r="G283" i="5"/>
  <c r="F283" i="5"/>
  <c r="K282" i="5"/>
  <c r="H282" i="5"/>
  <c r="G282" i="5"/>
  <c r="F282" i="5"/>
  <c r="I282" i="5" s="1"/>
  <c r="H281" i="5"/>
  <c r="G281" i="5"/>
  <c r="F281" i="5"/>
  <c r="I281" i="5" s="1"/>
  <c r="H280" i="5"/>
  <c r="G280" i="5"/>
  <c r="F280" i="5"/>
  <c r="I280" i="5" s="1"/>
  <c r="H279" i="5"/>
  <c r="G279" i="5"/>
  <c r="F279" i="5"/>
  <c r="I279" i="5" s="1"/>
  <c r="H278" i="5"/>
  <c r="G278" i="5"/>
  <c r="F278" i="5"/>
  <c r="I278" i="5" s="1"/>
  <c r="H277" i="5"/>
  <c r="G277" i="5"/>
  <c r="F277" i="5"/>
  <c r="K276" i="5"/>
  <c r="H276" i="5"/>
  <c r="G276" i="5"/>
  <c r="F276" i="5"/>
  <c r="I276" i="5" s="1"/>
  <c r="H275" i="5"/>
  <c r="I275" i="5" s="1"/>
  <c r="G275" i="5"/>
  <c r="F275" i="5"/>
  <c r="H274" i="5"/>
  <c r="I274" i="5" s="1"/>
  <c r="G274" i="5"/>
  <c r="F274" i="5"/>
  <c r="H273" i="5"/>
  <c r="I273" i="5" s="1"/>
  <c r="G273" i="5"/>
  <c r="F273" i="5"/>
  <c r="H272" i="5"/>
  <c r="G272" i="5"/>
  <c r="F272" i="5"/>
  <c r="H271" i="5"/>
  <c r="G271" i="5"/>
  <c r="F271" i="5"/>
  <c r="K270" i="5"/>
  <c r="H270" i="5"/>
  <c r="G270" i="5"/>
  <c r="F270" i="5"/>
  <c r="H269" i="5"/>
  <c r="G269" i="5"/>
  <c r="F269" i="5"/>
  <c r="H268" i="5"/>
  <c r="G268" i="5"/>
  <c r="F268" i="5"/>
  <c r="I268" i="5" s="1"/>
  <c r="H267" i="5"/>
  <c r="G267" i="5"/>
  <c r="F267" i="5"/>
  <c r="I267" i="5" s="1"/>
  <c r="H266" i="5"/>
  <c r="G266" i="5"/>
  <c r="F266" i="5"/>
  <c r="I266" i="5" s="1"/>
  <c r="H265" i="5"/>
  <c r="G265" i="5"/>
  <c r="F265" i="5"/>
  <c r="I265" i="5" s="1"/>
  <c r="K264" i="5"/>
  <c r="H264" i="5"/>
  <c r="G264" i="5"/>
  <c r="F264" i="5"/>
  <c r="I264" i="5" s="1"/>
  <c r="H263" i="5"/>
  <c r="I263" i="5" s="1"/>
  <c r="G263" i="5"/>
  <c r="F263" i="5"/>
  <c r="H262" i="5"/>
  <c r="I262" i="5" s="1"/>
  <c r="G262" i="5"/>
  <c r="F262" i="5"/>
  <c r="H261" i="5"/>
  <c r="I261" i="5" s="1"/>
  <c r="G261" i="5"/>
  <c r="F261" i="5"/>
  <c r="H260" i="5"/>
  <c r="G260" i="5"/>
  <c r="F260" i="5"/>
  <c r="H259" i="5"/>
  <c r="I259" i="5" s="1"/>
  <c r="G259" i="5"/>
  <c r="F259" i="5"/>
  <c r="K258" i="5"/>
  <c r="H258" i="5"/>
  <c r="G258" i="5"/>
  <c r="F258" i="5"/>
  <c r="H257" i="5"/>
  <c r="G257" i="5"/>
  <c r="F257" i="5"/>
  <c r="H256" i="5"/>
  <c r="G256" i="5"/>
  <c r="F256" i="5"/>
  <c r="I256" i="5" s="1"/>
  <c r="H255" i="5"/>
  <c r="G255" i="5"/>
  <c r="F255" i="5"/>
  <c r="I255" i="5" s="1"/>
  <c r="H254" i="5"/>
  <c r="G254" i="5"/>
  <c r="F254" i="5"/>
  <c r="H253" i="5"/>
  <c r="G253" i="5"/>
  <c r="F253" i="5"/>
  <c r="K252" i="5"/>
  <c r="H252" i="5"/>
  <c r="I252" i="5" s="1"/>
  <c r="G252" i="5"/>
  <c r="F252" i="5"/>
  <c r="F251" i="5"/>
  <c r="F250" i="5"/>
  <c r="F248" i="5"/>
  <c r="F247" i="5"/>
  <c r="G246" i="5"/>
  <c r="F246" i="5"/>
  <c r="G247" i="5"/>
  <c r="H247" i="5"/>
  <c r="G248" i="5"/>
  <c r="H248" i="5"/>
  <c r="F249" i="5"/>
  <c r="G249" i="5"/>
  <c r="H249" i="5"/>
  <c r="I250" i="5"/>
  <c r="G250" i="5"/>
  <c r="H250" i="5"/>
  <c r="G251" i="5"/>
  <c r="H251" i="5"/>
  <c r="H246" i="5"/>
  <c r="K246" i="5"/>
  <c r="H217" i="5"/>
  <c r="G217" i="5"/>
  <c r="F217" i="5"/>
  <c r="H216" i="5"/>
  <c r="G216" i="5"/>
  <c r="F216" i="5"/>
  <c r="H215" i="5"/>
  <c r="G215" i="5"/>
  <c r="F215" i="5"/>
  <c r="H214" i="5"/>
  <c r="G214" i="5"/>
  <c r="F214" i="5"/>
  <c r="H213" i="5"/>
  <c r="G213" i="5"/>
  <c r="F213" i="5"/>
  <c r="H212" i="5"/>
  <c r="G212" i="5"/>
  <c r="F212" i="5"/>
  <c r="H211" i="5"/>
  <c r="G211" i="5"/>
  <c r="F211" i="5"/>
  <c r="K210" i="5"/>
  <c r="L210" i="5" s="1"/>
  <c r="H210" i="5"/>
  <c r="G210" i="5"/>
  <c r="F210" i="5"/>
  <c r="K203" i="5"/>
  <c r="L203" i="5" s="1"/>
  <c r="H209" i="5"/>
  <c r="G209" i="5"/>
  <c r="F209" i="5"/>
  <c r="H208" i="5"/>
  <c r="G208" i="5"/>
  <c r="F208" i="5"/>
  <c r="H207" i="5"/>
  <c r="G207" i="5"/>
  <c r="F207" i="5"/>
  <c r="H206" i="5"/>
  <c r="G206" i="5"/>
  <c r="F206" i="5"/>
  <c r="H205" i="5"/>
  <c r="G205" i="5"/>
  <c r="F205" i="5"/>
  <c r="H204" i="5"/>
  <c r="G204" i="5"/>
  <c r="F204" i="5"/>
  <c r="H203" i="5"/>
  <c r="G203" i="5"/>
  <c r="F203" i="5"/>
  <c r="H202" i="5"/>
  <c r="G202" i="5"/>
  <c r="F202" i="5"/>
  <c r="H201" i="5"/>
  <c r="G201" i="5"/>
  <c r="F201" i="5"/>
  <c r="H200" i="5"/>
  <c r="G200" i="5"/>
  <c r="F200" i="5"/>
  <c r="H199" i="5"/>
  <c r="G199" i="5"/>
  <c r="F199" i="5"/>
  <c r="H198" i="5"/>
  <c r="G198" i="5"/>
  <c r="F198" i="5"/>
  <c r="H197" i="5"/>
  <c r="G197" i="5"/>
  <c r="F197" i="5"/>
  <c r="H196" i="5"/>
  <c r="G196" i="5"/>
  <c r="F196" i="5"/>
  <c r="K195" i="5"/>
  <c r="L195" i="5" s="1"/>
  <c r="H195" i="5"/>
  <c r="G195" i="5"/>
  <c r="F195" i="5"/>
  <c r="K187" i="5"/>
  <c r="L187" i="5" s="1"/>
  <c r="F194" i="5"/>
  <c r="I194" i="5" s="1"/>
  <c r="F193" i="5"/>
  <c r="F192" i="5"/>
  <c r="H194" i="5"/>
  <c r="G194" i="5"/>
  <c r="H193" i="5"/>
  <c r="G193" i="5"/>
  <c r="H192" i="5"/>
  <c r="G192" i="5"/>
  <c r="H191" i="5"/>
  <c r="G191" i="5"/>
  <c r="F191" i="5"/>
  <c r="H190" i="5"/>
  <c r="G190" i="5"/>
  <c r="F190" i="5"/>
  <c r="H189" i="5"/>
  <c r="G189" i="5"/>
  <c r="F189" i="5"/>
  <c r="H188" i="5"/>
  <c r="G188" i="5"/>
  <c r="F188" i="5"/>
  <c r="H187" i="5"/>
  <c r="G187" i="5"/>
  <c r="F187" i="5"/>
  <c r="H186" i="5"/>
  <c r="G186" i="5"/>
  <c r="F186" i="5"/>
  <c r="H185" i="5"/>
  <c r="G185" i="5"/>
  <c r="F185" i="5"/>
  <c r="H184" i="5"/>
  <c r="G184" i="5"/>
  <c r="F184" i="5"/>
  <c r="H183" i="5"/>
  <c r="G183" i="5"/>
  <c r="F183" i="5"/>
  <c r="H182" i="5"/>
  <c r="G182" i="5"/>
  <c r="F182" i="5"/>
  <c r="K181" i="5"/>
  <c r="L181" i="5" s="1"/>
  <c r="H181" i="5"/>
  <c r="G181" i="5"/>
  <c r="F181" i="5"/>
  <c r="H180" i="5"/>
  <c r="G180" i="5"/>
  <c r="F180" i="5"/>
  <c r="H179" i="5"/>
  <c r="I179" i="5" s="1"/>
  <c r="G179" i="5"/>
  <c r="F179" i="5"/>
  <c r="H178" i="5"/>
  <c r="G178" i="5"/>
  <c r="F178" i="5"/>
  <c r="H177" i="5"/>
  <c r="G177" i="5"/>
  <c r="F177" i="5"/>
  <c r="H176" i="5"/>
  <c r="G176" i="5"/>
  <c r="F176" i="5"/>
  <c r="K175" i="5"/>
  <c r="L175" i="5" s="1"/>
  <c r="H175" i="5"/>
  <c r="G175" i="5"/>
  <c r="F175" i="5"/>
  <c r="H174" i="5"/>
  <c r="I174" i="5" s="1"/>
  <c r="G174" i="5"/>
  <c r="F174" i="5"/>
  <c r="H173" i="5"/>
  <c r="G173" i="5"/>
  <c r="F173" i="5"/>
  <c r="H172" i="5"/>
  <c r="G172" i="5"/>
  <c r="F172" i="5"/>
  <c r="H171" i="5"/>
  <c r="G171" i="5"/>
  <c r="F171" i="5"/>
  <c r="H170" i="5"/>
  <c r="G170" i="5"/>
  <c r="F170" i="5"/>
  <c r="K169" i="5"/>
  <c r="L169" i="5" s="1"/>
  <c r="H169" i="5"/>
  <c r="G169" i="5"/>
  <c r="F169" i="5"/>
  <c r="H168" i="5"/>
  <c r="G168" i="5"/>
  <c r="F168" i="5"/>
  <c r="H167" i="5"/>
  <c r="G167" i="5"/>
  <c r="F167" i="5"/>
  <c r="H166" i="5"/>
  <c r="G166" i="5"/>
  <c r="F166" i="5"/>
  <c r="H165" i="5"/>
  <c r="G165" i="5"/>
  <c r="F165" i="5"/>
  <c r="H164" i="5"/>
  <c r="G164" i="5"/>
  <c r="F164" i="5"/>
  <c r="K163" i="5"/>
  <c r="L163" i="5" s="1"/>
  <c r="H163" i="5"/>
  <c r="G163" i="5"/>
  <c r="F163" i="5"/>
  <c r="H162" i="5"/>
  <c r="G162" i="5"/>
  <c r="F162" i="5"/>
  <c r="H161" i="5"/>
  <c r="G161" i="5"/>
  <c r="F161" i="5"/>
  <c r="H160" i="5"/>
  <c r="G160" i="5"/>
  <c r="F160" i="5"/>
  <c r="H159" i="5"/>
  <c r="G159" i="5"/>
  <c r="F159" i="5"/>
  <c r="H158" i="5"/>
  <c r="G158" i="5"/>
  <c r="F158" i="5"/>
  <c r="K157" i="5"/>
  <c r="L157" i="5" s="1"/>
  <c r="H157" i="5"/>
  <c r="G157" i="5"/>
  <c r="F157" i="5"/>
  <c r="H156" i="5"/>
  <c r="G156" i="5"/>
  <c r="F156" i="5"/>
  <c r="H155" i="5"/>
  <c r="G155" i="5"/>
  <c r="F155" i="5"/>
  <c r="H154" i="5"/>
  <c r="G154" i="5"/>
  <c r="F154" i="5"/>
  <c r="H153" i="5"/>
  <c r="G153" i="5"/>
  <c r="F153" i="5"/>
  <c r="H152" i="5"/>
  <c r="G152" i="5"/>
  <c r="F152" i="5"/>
  <c r="K151" i="5"/>
  <c r="L151" i="5" s="1"/>
  <c r="H151" i="5"/>
  <c r="G151" i="5"/>
  <c r="F151" i="5"/>
  <c r="H150" i="5"/>
  <c r="G150" i="5"/>
  <c r="F150" i="5"/>
  <c r="H149" i="5"/>
  <c r="G149" i="5"/>
  <c r="F149" i="5"/>
  <c r="H148" i="5"/>
  <c r="G148" i="5"/>
  <c r="F148" i="5"/>
  <c r="H147" i="5"/>
  <c r="G147" i="5"/>
  <c r="F147" i="5"/>
  <c r="H146" i="5"/>
  <c r="G146" i="5"/>
  <c r="F146" i="5"/>
  <c r="K145" i="5"/>
  <c r="L145" i="5" s="1"/>
  <c r="H145" i="5"/>
  <c r="G145" i="5"/>
  <c r="F145" i="5"/>
  <c r="K139" i="5"/>
  <c r="L139" i="5" s="1"/>
  <c r="F144" i="5"/>
  <c r="F143" i="5"/>
  <c r="F142" i="5"/>
  <c r="F141" i="5"/>
  <c r="G140" i="5"/>
  <c r="F140" i="5"/>
  <c r="H139" i="5"/>
  <c r="G139" i="5"/>
  <c r="H140" i="5"/>
  <c r="G141" i="5"/>
  <c r="H141" i="5"/>
  <c r="G142" i="5"/>
  <c r="H142" i="5"/>
  <c r="G143" i="5"/>
  <c r="H143" i="5"/>
  <c r="G144" i="5"/>
  <c r="H144" i="5"/>
  <c r="F139" i="5"/>
  <c r="C40" i="8" l="1"/>
  <c r="E39" i="8"/>
  <c r="C34" i="8"/>
  <c r="E33" i="8"/>
  <c r="H46" i="8"/>
  <c r="I8" i="7"/>
  <c r="C8" i="7"/>
  <c r="I9" i="7"/>
  <c r="C9" i="7"/>
  <c r="C29" i="7"/>
  <c r="C31" i="7"/>
  <c r="C16" i="7"/>
  <c r="I16" i="7"/>
  <c r="C26" i="7"/>
  <c r="I26" i="7"/>
  <c r="C32" i="7"/>
  <c r="I32" i="7"/>
  <c r="I15" i="7"/>
  <c r="C15" i="7"/>
  <c r="I25" i="7"/>
  <c r="C25" i="7"/>
  <c r="C33" i="7"/>
  <c r="I33" i="7"/>
  <c r="I335" i="5"/>
  <c r="I334" i="5"/>
  <c r="I333" i="5"/>
  <c r="I318" i="5"/>
  <c r="I312" i="5"/>
  <c r="I310" i="5"/>
  <c r="I308" i="5"/>
  <c r="I303" i="5"/>
  <c r="I302" i="5"/>
  <c r="I301" i="5"/>
  <c r="I290" i="5"/>
  <c r="I284" i="5"/>
  <c r="I283" i="5"/>
  <c r="I277" i="5"/>
  <c r="I272" i="5"/>
  <c r="I271" i="5"/>
  <c r="I270" i="5"/>
  <c r="I269" i="5"/>
  <c r="I260" i="5"/>
  <c r="I258" i="5"/>
  <c r="I257" i="5"/>
  <c r="I254" i="5"/>
  <c r="I253" i="5"/>
  <c r="I146" i="5"/>
  <c r="I142" i="5"/>
  <c r="I139" i="5"/>
  <c r="I140" i="5"/>
  <c r="I196" i="5"/>
  <c r="I200" i="5"/>
  <c r="I209" i="5"/>
  <c r="I210" i="5"/>
  <c r="I211" i="5"/>
  <c r="I215" i="5"/>
  <c r="I248" i="5"/>
  <c r="I247" i="5"/>
  <c r="I251" i="5"/>
  <c r="I150" i="5"/>
  <c r="I149" i="5"/>
  <c r="I152" i="5"/>
  <c r="I161" i="5"/>
  <c r="I166" i="5"/>
  <c r="I173" i="5"/>
  <c r="I175" i="5"/>
  <c r="I183" i="5"/>
  <c r="I197" i="5"/>
  <c r="I201" i="5"/>
  <c r="I206" i="5"/>
  <c r="I212" i="5"/>
  <c r="I216" i="5"/>
  <c r="I246" i="5"/>
  <c r="I249" i="5"/>
  <c r="I217" i="5"/>
  <c r="I214" i="5"/>
  <c r="I213" i="5"/>
  <c r="I143" i="5"/>
  <c r="I148" i="5"/>
  <c r="I155" i="5"/>
  <c r="I160" i="5"/>
  <c r="I172" i="5"/>
  <c r="I177" i="5"/>
  <c r="I182" i="5"/>
  <c r="I186" i="5"/>
  <c r="I192" i="5"/>
  <c r="I205" i="5"/>
  <c r="I147" i="5"/>
  <c r="I151" i="5"/>
  <c r="I154" i="5"/>
  <c r="I159" i="5"/>
  <c r="I168" i="5"/>
  <c r="I171" i="5"/>
  <c r="I176" i="5"/>
  <c r="I180" i="5"/>
  <c r="I185" i="5"/>
  <c r="I187" i="5"/>
  <c r="I191" i="5"/>
  <c r="I203" i="5"/>
  <c r="I204" i="5"/>
  <c r="I208" i="5"/>
  <c r="I141" i="5"/>
  <c r="I153" i="5"/>
  <c r="I162" i="5"/>
  <c r="I167" i="5"/>
  <c r="I190" i="5"/>
  <c r="I202" i="5"/>
  <c r="I207" i="5"/>
  <c r="I199" i="5"/>
  <c r="I198" i="5"/>
  <c r="I195" i="5"/>
  <c r="I193" i="5"/>
  <c r="I189" i="5"/>
  <c r="I188" i="5"/>
  <c r="I184" i="5"/>
  <c r="I181" i="5"/>
  <c r="I178" i="5"/>
  <c r="I170" i="5"/>
  <c r="I169" i="5"/>
  <c r="I165" i="5"/>
  <c r="I164" i="5"/>
  <c r="I163" i="5"/>
  <c r="I158" i="5"/>
  <c r="I157" i="5"/>
  <c r="I156" i="5"/>
  <c r="I145" i="5"/>
  <c r="I144" i="5"/>
  <c r="C35" i="8" l="1"/>
  <c r="E34" i="8"/>
  <c r="C41" i="8"/>
  <c r="E40" i="8"/>
  <c r="H47" i="8"/>
  <c r="H108" i="5"/>
  <c r="G108" i="5"/>
  <c r="F108" i="5"/>
  <c r="H107" i="5"/>
  <c r="G107" i="5"/>
  <c r="F107" i="5"/>
  <c r="H106" i="5"/>
  <c r="G106" i="5"/>
  <c r="F106" i="5"/>
  <c r="H105" i="5"/>
  <c r="G105" i="5"/>
  <c r="F105" i="5"/>
  <c r="H104" i="5"/>
  <c r="G104" i="5"/>
  <c r="F104" i="5"/>
  <c r="H103" i="5"/>
  <c r="G103" i="5"/>
  <c r="F103" i="5"/>
  <c r="I103" i="5" s="1"/>
  <c r="H102" i="5"/>
  <c r="G102" i="5"/>
  <c r="F102" i="5"/>
  <c r="K101" i="5"/>
  <c r="H101" i="5"/>
  <c r="G101" i="5"/>
  <c r="F101" i="5"/>
  <c r="F86" i="5"/>
  <c r="G86" i="5"/>
  <c r="H86" i="5"/>
  <c r="K86" i="5"/>
  <c r="L86" i="5" s="1"/>
  <c r="F87" i="5"/>
  <c r="G87" i="5"/>
  <c r="H87" i="5"/>
  <c r="F88" i="5"/>
  <c r="G88" i="5"/>
  <c r="H88" i="5"/>
  <c r="F89" i="5"/>
  <c r="G89" i="5"/>
  <c r="H89" i="5"/>
  <c r="F90" i="5"/>
  <c r="G90" i="5"/>
  <c r="H90" i="5"/>
  <c r="F91" i="5"/>
  <c r="G91" i="5"/>
  <c r="H91" i="5"/>
  <c r="F92" i="5"/>
  <c r="G92" i="5"/>
  <c r="H92" i="5"/>
  <c r="F93" i="5"/>
  <c r="G93" i="5"/>
  <c r="H93" i="5"/>
  <c r="F94" i="5"/>
  <c r="G94" i="5"/>
  <c r="H94" i="5"/>
  <c r="K94" i="5"/>
  <c r="L94" i="5" s="1"/>
  <c r="F95" i="5"/>
  <c r="G95" i="5"/>
  <c r="H95" i="5"/>
  <c r="F96" i="5"/>
  <c r="G96" i="5"/>
  <c r="H96" i="5"/>
  <c r="F97" i="5"/>
  <c r="G97" i="5"/>
  <c r="H97" i="5"/>
  <c r="F98" i="5"/>
  <c r="G98" i="5"/>
  <c r="H98" i="5"/>
  <c r="F99" i="5"/>
  <c r="G99" i="5"/>
  <c r="H99" i="5"/>
  <c r="F100" i="5"/>
  <c r="G100" i="5"/>
  <c r="H100" i="5"/>
  <c r="F85" i="5"/>
  <c r="F84" i="5"/>
  <c r="F82" i="5"/>
  <c r="F79" i="5"/>
  <c r="F83" i="5"/>
  <c r="F81" i="5"/>
  <c r="F80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39" i="5"/>
  <c r="F37" i="5"/>
  <c r="F41" i="5"/>
  <c r="F40" i="5"/>
  <c r="F38" i="5"/>
  <c r="F36" i="5"/>
  <c r="F35" i="5"/>
  <c r="F34" i="5"/>
  <c r="F33" i="5"/>
  <c r="F32" i="5"/>
  <c r="F31" i="5"/>
  <c r="F30" i="5"/>
  <c r="H85" i="5"/>
  <c r="G85" i="5"/>
  <c r="H84" i="5"/>
  <c r="G84" i="5"/>
  <c r="H83" i="5"/>
  <c r="G83" i="5"/>
  <c r="H82" i="5"/>
  <c r="G82" i="5"/>
  <c r="H81" i="5"/>
  <c r="G81" i="5"/>
  <c r="H80" i="5"/>
  <c r="G80" i="5"/>
  <c r="H79" i="5"/>
  <c r="G79" i="5"/>
  <c r="K78" i="5"/>
  <c r="L78" i="5" s="1"/>
  <c r="H78" i="5"/>
  <c r="G78" i="5"/>
  <c r="H77" i="5"/>
  <c r="G77" i="5"/>
  <c r="H76" i="5"/>
  <c r="G76" i="5"/>
  <c r="H75" i="5"/>
  <c r="G75" i="5"/>
  <c r="H74" i="5"/>
  <c r="G74" i="5"/>
  <c r="H73" i="5"/>
  <c r="G73" i="5"/>
  <c r="K72" i="5"/>
  <c r="L72" i="5" s="1"/>
  <c r="H72" i="5"/>
  <c r="G72" i="5"/>
  <c r="H71" i="5"/>
  <c r="G71" i="5"/>
  <c r="H70" i="5"/>
  <c r="G70" i="5"/>
  <c r="H69" i="5"/>
  <c r="G69" i="5"/>
  <c r="H68" i="5"/>
  <c r="G68" i="5"/>
  <c r="H67" i="5"/>
  <c r="G67" i="5"/>
  <c r="K66" i="5"/>
  <c r="L66" i="5" s="1"/>
  <c r="H66" i="5"/>
  <c r="G66" i="5"/>
  <c r="H65" i="5"/>
  <c r="G65" i="5"/>
  <c r="H64" i="5"/>
  <c r="G64" i="5"/>
  <c r="H63" i="5"/>
  <c r="G63" i="5"/>
  <c r="H62" i="5"/>
  <c r="G62" i="5"/>
  <c r="H61" i="5"/>
  <c r="G61" i="5"/>
  <c r="K60" i="5"/>
  <c r="L60" i="5" s="1"/>
  <c r="H60" i="5"/>
  <c r="G60" i="5"/>
  <c r="H59" i="5"/>
  <c r="G59" i="5"/>
  <c r="H58" i="5"/>
  <c r="G58" i="5"/>
  <c r="H57" i="5"/>
  <c r="G57" i="5"/>
  <c r="H56" i="5"/>
  <c r="G56" i="5"/>
  <c r="H55" i="5"/>
  <c r="G55" i="5"/>
  <c r="K54" i="5"/>
  <c r="L54" i="5" s="1"/>
  <c r="H54" i="5"/>
  <c r="G54" i="5"/>
  <c r="H53" i="5"/>
  <c r="G53" i="5"/>
  <c r="H52" i="5"/>
  <c r="G52" i="5"/>
  <c r="H51" i="5"/>
  <c r="G51" i="5"/>
  <c r="H50" i="5"/>
  <c r="G50" i="5"/>
  <c r="H49" i="5"/>
  <c r="G49" i="5"/>
  <c r="K48" i="5"/>
  <c r="L48" i="5" s="1"/>
  <c r="H48" i="5"/>
  <c r="G48" i="5"/>
  <c r="H47" i="5"/>
  <c r="G47" i="5"/>
  <c r="H46" i="5"/>
  <c r="G46" i="5"/>
  <c r="H45" i="5"/>
  <c r="G45" i="5"/>
  <c r="H44" i="5"/>
  <c r="G44" i="5"/>
  <c r="H43" i="5"/>
  <c r="G43" i="5"/>
  <c r="K42" i="5"/>
  <c r="L42" i="5" s="1"/>
  <c r="H42" i="5"/>
  <c r="G42" i="5"/>
  <c r="H41" i="5"/>
  <c r="G41" i="5"/>
  <c r="H40" i="5"/>
  <c r="G40" i="5"/>
  <c r="H39" i="5"/>
  <c r="G39" i="5"/>
  <c r="H38" i="5"/>
  <c r="G38" i="5"/>
  <c r="H37" i="5"/>
  <c r="G37" i="5"/>
  <c r="K36" i="5"/>
  <c r="L36" i="5" s="1"/>
  <c r="H36" i="5"/>
  <c r="G36" i="5"/>
  <c r="K30" i="5"/>
  <c r="L30" i="5" s="1"/>
  <c r="H35" i="5"/>
  <c r="G35" i="5"/>
  <c r="H34" i="5"/>
  <c r="G34" i="5"/>
  <c r="H33" i="5"/>
  <c r="G33" i="5"/>
  <c r="H31" i="5"/>
  <c r="H32" i="5"/>
  <c r="H30" i="5"/>
  <c r="G31" i="5"/>
  <c r="G32" i="5"/>
  <c r="G30" i="5"/>
  <c r="C42" i="8" l="1"/>
  <c r="E41" i="8"/>
  <c r="C36" i="8"/>
  <c r="E35" i="8"/>
  <c r="H48" i="8"/>
  <c r="I100" i="5"/>
  <c r="I106" i="5"/>
  <c r="I102" i="5"/>
  <c r="I108" i="5"/>
  <c r="I107" i="5"/>
  <c r="I105" i="5"/>
  <c r="I104" i="5"/>
  <c r="I101" i="5"/>
  <c r="I95" i="5"/>
  <c r="I98" i="5"/>
  <c r="I96" i="5"/>
  <c r="I91" i="5"/>
  <c r="I97" i="5"/>
  <c r="I89" i="5"/>
  <c r="I99" i="5"/>
  <c r="I86" i="5"/>
  <c r="I93" i="5"/>
  <c r="I87" i="5"/>
  <c r="I94" i="5"/>
  <c r="I88" i="5"/>
  <c r="I92" i="5"/>
  <c r="I90" i="5"/>
  <c r="I69" i="5"/>
  <c r="I77" i="5"/>
  <c r="I71" i="5"/>
  <c r="I50" i="5"/>
  <c r="I31" i="5"/>
  <c r="I40" i="5"/>
  <c r="I64" i="5"/>
  <c r="I59" i="5"/>
  <c r="I39" i="5"/>
  <c r="I45" i="5"/>
  <c r="I57" i="5"/>
  <c r="I65" i="5"/>
  <c r="I73" i="5"/>
  <c r="I33" i="5"/>
  <c r="I34" i="5"/>
  <c r="I46" i="5"/>
  <c r="I58" i="5"/>
  <c r="I70" i="5"/>
  <c r="I74" i="5"/>
  <c r="I35" i="5"/>
  <c r="I43" i="5"/>
  <c r="I63" i="5"/>
  <c r="I30" i="5"/>
  <c r="I85" i="5"/>
  <c r="I32" i="5"/>
  <c r="I36" i="5"/>
  <c r="I56" i="5"/>
  <c r="I76" i="5"/>
  <c r="I84" i="5"/>
  <c r="I83" i="5"/>
  <c r="I80" i="5"/>
  <c r="I79" i="5"/>
  <c r="I78" i="5"/>
  <c r="I82" i="5"/>
  <c r="I81" i="5"/>
  <c r="I75" i="5"/>
  <c r="I72" i="5"/>
  <c r="I68" i="5"/>
  <c r="I67" i="5"/>
  <c r="I66" i="5"/>
  <c r="I62" i="5"/>
  <c r="I61" i="5"/>
  <c r="I60" i="5"/>
  <c r="I55" i="5"/>
  <c r="I54" i="5"/>
  <c r="I53" i="5"/>
  <c r="I52" i="5"/>
  <c r="I51" i="5"/>
  <c r="I49" i="5"/>
  <c r="I48" i="5"/>
  <c r="I47" i="5"/>
  <c r="I44" i="5"/>
  <c r="I42" i="5"/>
  <c r="I41" i="5"/>
  <c r="I38" i="5"/>
  <c r="I37" i="5"/>
  <c r="E36" i="8" l="1"/>
  <c r="C44" i="8"/>
  <c r="C43" i="8"/>
  <c r="E43" i="8" s="1"/>
  <c r="E42" i="8"/>
  <c r="H49" i="8"/>
  <c r="N621" i="4"/>
  <c r="M621" i="4"/>
  <c r="N614" i="4"/>
  <c r="M614" i="4"/>
  <c r="N607" i="4"/>
  <c r="M607" i="4"/>
  <c r="N598" i="4"/>
  <c r="M598" i="4"/>
  <c r="N591" i="4"/>
  <c r="M591" i="4"/>
  <c r="N584" i="4"/>
  <c r="M584" i="4"/>
  <c r="N574" i="4"/>
  <c r="M574" i="4"/>
  <c r="N570" i="4"/>
  <c r="M570" i="4"/>
  <c r="N565" i="4"/>
  <c r="M565" i="4"/>
  <c r="N559" i="4"/>
  <c r="M559" i="4"/>
  <c r="N554" i="4"/>
  <c r="M554" i="4"/>
  <c r="N550" i="4"/>
  <c r="M550" i="4"/>
  <c r="N543" i="4"/>
  <c r="M543" i="4"/>
  <c r="N538" i="4"/>
  <c r="M538" i="4"/>
  <c r="N533" i="4"/>
  <c r="M533" i="4"/>
  <c r="N526" i="4"/>
  <c r="M526" i="4"/>
  <c r="M520" i="4"/>
  <c r="N520" i="4"/>
  <c r="N515" i="4"/>
  <c r="M515" i="4"/>
  <c r="N507" i="4"/>
  <c r="M507" i="4"/>
  <c r="N503" i="4"/>
  <c r="M503" i="4"/>
  <c r="N494" i="4"/>
  <c r="M494" i="4"/>
  <c r="N485" i="4"/>
  <c r="M485" i="4"/>
  <c r="K491" i="4"/>
  <c r="L491" i="4"/>
  <c r="M477" i="4"/>
  <c r="N477" i="4"/>
  <c r="N470" i="4"/>
  <c r="M470" i="4"/>
  <c r="N460" i="4"/>
  <c r="M460" i="4"/>
  <c r="N451" i="4"/>
  <c r="M451" i="4"/>
  <c r="N443" i="4"/>
  <c r="M443" i="4"/>
  <c r="N437" i="4"/>
  <c r="M437" i="4"/>
  <c r="N426" i="4"/>
  <c r="M426" i="4"/>
  <c r="N415" i="4"/>
  <c r="M415" i="4"/>
  <c r="N413" i="4"/>
  <c r="M413" i="4"/>
  <c r="N410" i="4"/>
  <c r="M410" i="4"/>
  <c r="N406" i="4"/>
  <c r="M406" i="4"/>
  <c r="N403" i="4"/>
  <c r="M403" i="4"/>
  <c r="N399" i="4"/>
  <c r="M399" i="4"/>
  <c r="N391" i="4"/>
  <c r="M391" i="4"/>
  <c r="N385" i="4"/>
  <c r="M385" i="4"/>
  <c r="N378" i="4"/>
  <c r="M378" i="4"/>
  <c r="N372" i="4"/>
  <c r="M366" i="4"/>
  <c r="M372" i="4"/>
  <c r="N366" i="4"/>
  <c r="N360" i="4"/>
  <c r="M360" i="4"/>
  <c r="N353" i="4"/>
  <c r="M353" i="4"/>
  <c r="N347" i="4"/>
  <c r="M347" i="4"/>
  <c r="N340" i="4"/>
  <c r="M340" i="4"/>
  <c r="N335" i="4"/>
  <c r="M335" i="4"/>
  <c r="N330" i="4"/>
  <c r="M330" i="4"/>
  <c r="M322" i="4"/>
  <c r="N315" i="4"/>
  <c r="M315" i="4"/>
  <c r="N310" i="4"/>
  <c r="M310" i="4"/>
  <c r="N302" i="4"/>
  <c r="M302" i="4"/>
  <c r="N294" i="4"/>
  <c r="M294" i="4"/>
  <c r="N288" i="4"/>
  <c r="M288" i="4"/>
  <c r="N281" i="4"/>
  <c r="M281" i="4"/>
  <c r="N322" i="4"/>
  <c r="N277" i="4"/>
  <c r="M277" i="4"/>
  <c r="N268" i="4"/>
  <c r="M268" i="4"/>
  <c r="N259" i="4"/>
  <c r="M259" i="4"/>
  <c r="N249" i="4"/>
  <c r="M249" i="4"/>
  <c r="N241" i="4"/>
  <c r="M241" i="4"/>
  <c r="N233" i="4"/>
  <c r="M233" i="4"/>
  <c r="N225" i="4"/>
  <c r="M225" i="4"/>
  <c r="N215" i="4"/>
  <c r="M215" i="4"/>
  <c r="N207" i="4"/>
  <c r="M207" i="4"/>
  <c r="N199" i="4"/>
  <c r="M199" i="4"/>
  <c r="N190" i="4"/>
  <c r="M190" i="4"/>
  <c r="N181" i="4"/>
  <c r="M181" i="4"/>
  <c r="M170" i="4"/>
  <c r="N170" i="4"/>
  <c r="N168" i="4"/>
  <c r="M168" i="4"/>
  <c r="N165" i="4"/>
  <c r="M165" i="4"/>
  <c r="N161" i="4"/>
  <c r="M161" i="4"/>
  <c r="N158" i="4"/>
  <c r="M158" i="4"/>
  <c r="N154" i="4"/>
  <c r="M154" i="4"/>
  <c r="N145" i="4"/>
  <c r="M145" i="4"/>
  <c r="N139" i="4"/>
  <c r="M139" i="4"/>
  <c r="N130" i="4"/>
  <c r="M130" i="4"/>
  <c r="N122" i="4"/>
  <c r="M122" i="4"/>
  <c r="N117" i="4"/>
  <c r="M117" i="4"/>
  <c r="N110" i="4"/>
  <c r="M110" i="4"/>
  <c r="N104" i="4"/>
  <c r="M104" i="4"/>
  <c r="N100" i="4"/>
  <c r="M100" i="4"/>
  <c r="M92" i="4"/>
  <c r="N85" i="4"/>
  <c r="M85" i="4"/>
  <c r="N92" i="4"/>
  <c r="N79" i="4"/>
  <c r="M79" i="4"/>
  <c r="N71" i="4"/>
  <c r="M71" i="4"/>
  <c r="N64" i="4"/>
  <c r="M64" i="4"/>
  <c r="N58" i="4"/>
  <c r="M58" i="4"/>
  <c r="N50" i="4"/>
  <c r="M50" i="4"/>
  <c r="N43" i="4"/>
  <c r="M43" i="4"/>
  <c r="N37" i="4"/>
  <c r="M37" i="4"/>
  <c r="M29" i="4"/>
  <c r="N29" i="4"/>
  <c r="N5" i="4"/>
  <c r="N14" i="4"/>
  <c r="M20" i="4"/>
  <c r="N20" i="4"/>
  <c r="M14" i="4"/>
  <c r="M5" i="4"/>
  <c r="K623" i="4"/>
  <c r="I623" i="4"/>
  <c r="L623" i="4" s="1"/>
  <c r="K620" i="4"/>
  <c r="L620" i="4" s="1"/>
  <c r="K619" i="4"/>
  <c r="L619" i="4" s="1"/>
  <c r="I619" i="4"/>
  <c r="K613" i="4"/>
  <c r="L613" i="4" s="1"/>
  <c r="K612" i="4"/>
  <c r="I612" i="4"/>
  <c r="K606" i="4"/>
  <c r="L606" i="4" s="1"/>
  <c r="K605" i="4"/>
  <c r="I605" i="4"/>
  <c r="K597" i="4"/>
  <c r="L597" i="4" s="1"/>
  <c r="K596" i="4"/>
  <c r="I596" i="4"/>
  <c r="K655" i="4"/>
  <c r="I655" i="4"/>
  <c r="K648" i="4"/>
  <c r="I648" i="4"/>
  <c r="K644" i="4"/>
  <c r="K643" i="4"/>
  <c r="I643" i="4"/>
  <c r="K590" i="4"/>
  <c r="L590" i="4" s="1"/>
  <c r="K589" i="4"/>
  <c r="I589" i="4"/>
  <c r="L589" i="4" s="1"/>
  <c r="K583" i="4"/>
  <c r="L583" i="4" s="1"/>
  <c r="I582" i="4"/>
  <c r="L582" i="4" s="1"/>
  <c r="K582" i="4"/>
  <c r="I573" i="4"/>
  <c r="I569" i="4"/>
  <c r="I558" i="4"/>
  <c r="I553" i="4"/>
  <c r="I549" i="4"/>
  <c r="K573" i="4"/>
  <c r="K569" i="4"/>
  <c r="K565" i="4"/>
  <c r="L565" i="4" s="1"/>
  <c r="K564" i="4"/>
  <c r="I564" i="4"/>
  <c r="L564" i="4" s="1"/>
  <c r="K537" i="4"/>
  <c r="K542" i="4"/>
  <c r="K558" i="4"/>
  <c r="K553" i="4"/>
  <c r="K549" i="4"/>
  <c r="I519" i="4"/>
  <c r="I514" i="4"/>
  <c r="I542" i="4"/>
  <c r="L542" i="4" s="1"/>
  <c r="I537" i="4"/>
  <c r="L537" i="4" s="1"/>
  <c r="K533" i="4"/>
  <c r="L533" i="4" s="1"/>
  <c r="K532" i="4"/>
  <c r="I532" i="4"/>
  <c r="L532" i="4" s="1"/>
  <c r="K525" i="4"/>
  <c r="I525" i="4"/>
  <c r="K519" i="4"/>
  <c r="K515" i="4"/>
  <c r="L515" i="4" s="1"/>
  <c r="K514" i="4"/>
  <c r="K506" i="4"/>
  <c r="L506" i="4" s="1"/>
  <c r="K505" i="4"/>
  <c r="K502" i="4"/>
  <c r="L502" i="4" s="1"/>
  <c r="K501" i="4"/>
  <c r="K493" i="4"/>
  <c r="L493" i="4" s="1"/>
  <c r="K492" i="4"/>
  <c r="K484" i="4"/>
  <c r="L484" i="4" s="1"/>
  <c r="K483" i="4"/>
  <c r="K476" i="4"/>
  <c r="L476" i="4" s="1"/>
  <c r="K475" i="4"/>
  <c r="K469" i="4"/>
  <c r="L469" i="4" s="1"/>
  <c r="K468" i="4"/>
  <c r="K459" i="4"/>
  <c r="L459" i="4" s="1"/>
  <c r="K458" i="4"/>
  <c r="K450" i="4"/>
  <c r="L450" i="4" s="1"/>
  <c r="K449" i="4"/>
  <c r="K442" i="4"/>
  <c r="L442" i="4" s="1"/>
  <c r="K441" i="4"/>
  <c r="K436" i="4"/>
  <c r="L436" i="4" s="1"/>
  <c r="K435" i="4"/>
  <c r="K425" i="4"/>
  <c r="L425" i="4" s="1"/>
  <c r="K424" i="4"/>
  <c r="K414" i="4"/>
  <c r="K412" i="4"/>
  <c r="K409" i="4"/>
  <c r="K405" i="4"/>
  <c r="K402" i="4"/>
  <c r="K398" i="4"/>
  <c r="K390" i="4"/>
  <c r="K385" i="4"/>
  <c r="L385" i="4" s="1"/>
  <c r="K384" i="4"/>
  <c r="K377" i="4"/>
  <c r="K371" i="4"/>
  <c r="K366" i="4"/>
  <c r="L366" i="4" s="1"/>
  <c r="K365" i="4"/>
  <c r="K359" i="4"/>
  <c r="K352" i="4"/>
  <c r="K346" i="4"/>
  <c r="K339" i="4"/>
  <c r="K334" i="4"/>
  <c r="K330" i="4"/>
  <c r="L330" i="4" s="1"/>
  <c r="K329" i="4"/>
  <c r="K321" i="4"/>
  <c r="K314" i="4"/>
  <c r="K310" i="4"/>
  <c r="L310" i="4" s="1"/>
  <c r="K309" i="4"/>
  <c r="K301" i="4"/>
  <c r="K293" i="4"/>
  <c r="K288" i="4"/>
  <c r="L288" i="4" s="1"/>
  <c r="K287" i="4"/>
  <c r="E44" i="8" l="1"/>
  <c r="C45" i="8"/>
  <c r="H50" i="8"/>
  <c r="L569" i="4"/>
  <c r="L558" i="4"/>
  <c r="L514" i="4"/>
  <c r="L549" i="4"/>
  <c r="L573" i="4"/>
  <c r="L612" i="4"/>
  <c r="L525" i="4"/>
  <c r="L519" i="4"/>
  <c r="L553" i="4"/>
  <c r="L605" i="4"/>
  <c r="L596" i="4"/>
  <c r="I501" i="4"/>
  <c r="L501" i="4" s="1"/>
  <c r="I500" i="4"/>
  <c r="L500" i="4" s="1"/>
  <c r="J500" i="4"/>
  <c r="K500" i="4" s="1"/>
  <c r="I492" i="4"/>
  <c r="L492" i="4" s="1"/>
  <c r="I491" i="4"/>
  <c r="J491" i="4"/>
  <c r="I505" i="4"/>
  <c r="L505" i="4" s="1"/>
  <c r="I483" i="4"/>
  <c r="L483" i="4" s="1"/>
  <c r="I482" i="4"/>
  <c r="I475" i="4"/>
  <c r="L475" i="4" s="1"/>
  <c r="I468" i="4"/>
  <c r="L468" i="4" s="1"/>
  <c r="I467" i="4"/>
  <c r="I458" i="4"/>
  <c r="L458" i="4" s="1"/>
  <c r="I457" i="4"/>
  <c r="I449" i="4"/>
  <c r="L449" i="4" s="1"/>
  <c r="I441" i="4"/>
  <c r="L441" i="4" s="1"/>
  <c r="I435" i="4"/>
  <c r="L435" i="4" s="1"/>
  <c r="I424" i="4"/>
  <c r="L424" i="4" s="1"/>
  <c r="I423" i="4"/>
  <c r="I409" i="4"/>
  <c r="L409" i="4" s="1"/>
  <c r="I402" i="4"/>
  <c r="L402" i="4" s="1"/>
  <c r="I398" i="4"/>
  <c r="L398" i="4" s="1"/>
  <c r="I390" i="4"/>
  <c r="L390" i="4" s="1"/>
  <c r="I384" i="4"/>
  <c r="L384" i="4" s="1"/>
  <c r="I371" i="4"/>
  <c r="L371" i="4" s="1"/>
  <c r="I377" i="4"/>
  <c r="L377" i="4" s="1"/>
  <c r="I365" i="4"/>
  <c r="L365" i="4" s="1"/>
  <c r="I359" i="4"/>
  <c r="L359" i="4" s="1"/>
  <c r="I346" i="4"/>
  <c r="L346" i="4" s="1"/>
  <c r="I339" i="4"/>
  <c r="L339" i="4" s="1"/>
  <c r="I334" i="4"/>
  <c r="L334" i="4" s="1"/>
  <c r="I329" i="4"/>
  <c r="L329" i="4" s="1"/>
  <c r="I321" i="4"/>
  <c r="L321" i="4" s="1"/>
  <c r="I309" i="4"/>
  <c r="L309" i="4" s="1"/>
  <c r="I301" i="4"/>
  <c r="L301" i="4" s="1"/>
  <c r="J300" i="4"/>
  <c r="K300" i="4" s="1"/>
  <c r="I300" i="4"/>
  <c r="I293" i="4"/>
  <c r="L293" i="4" s="1"/>
  <c r="I292" i="4"/>
  <c r="J482" i="4"/>
  <c r="K482" i="4" s="1"/>
  <c r="J474" i="4"/>
  <c r="K474" i="4" s="1"/>
  <c r="I474" i="4"/>
  <c r="L474" i="4" s="1"/>
  <c r="J467" i="4"/>
  <c r="K467" i="4" s="1"/>
  <c r="J457" i="4"/>
  <c r="K457" i="4" s="1"/>
  <c r="J448" i="4"/>
  <c r="K448" i="4" s="1"/>
  <c r="I448" i="4"/>
  <c r="L448" i="4" s="1"/>
  <c r="J440" i="4"/>
  <c r="K440" i="4" s="1"/>
  <c r="I440" i="4"/>
  <c r="L440" i="4" s="1"/>
  <c r="J434" i="4"/>
  <c r="K434" i="4" s="1"/>
  <c r="I434" i="4"/>
  <c r="L434" i="4" s="1"/>
  <c r="J423" i="4"/>
  <c r="K423" i="4" s="1"/>
  <c r="I414" i="4"/>
  <c r="L414" i="4" s="1"/>
  <c r="I412" i="4"/>
  <c r="L412" i="4" s="1"/>
  <c r="I405" i="4"/>
  <c r="L405" i="4" s="1"/>
  <c r="J397" i="4"/>
  <c r="K397" i="4" s="1"/>
  <c r="I397" i="4"/>
  <c r="L397" i="4" s="1"/>
  <c r="I352" i="4"/>
  <c r="L352" i="4" s="1"/>
  <c r="K347" i="4"/>
  <c r="L347" i="4" s="1"/>
  <c r="I314" i="4"/>
  <c r="L314" i="4" s="1"/>
  <c r="J292" i="4"/>
  <c r="K292" i="4" s="1"/>
  <c r="I287" i="4"/>
  <c r="L287" i="4" s="1"/>
  <c r="J286" i="4"/>
  <c r="K286" i="4" s="1"/>
  <c r="I286" i="4"/>
  <c r="K280" i="4"/>
  <c r="L280" i="4" s="1"/>
  <c r="I279" i="4"/>
  <c r="K279" i="4"/>
  <c r="K276" i="4"/>
  <c r="L276" i="4" s="1"/>
  <c r="K275" i="4"/>
  <c r="K267" i="4"/>
  <c r="L267" i="4" s="1"/>
  <c r="K266" i="4"/>
  <c r="K258" i="4"/>
  <c r="L258" i="4" s="1"/>
  <c r="K257" i="4"/>
  <c r="K248" i="4"/>
  <c r="L248" i="4" s="1"/>
  <c r="K247" i="4"/>
  <c r="K240" i="4"/>
  <c r="L240" i="4" s="1"/>
  <c r="K239" i="4"/>
  <c r="K232" i="4"/>
  <c r="L232" i="4" s="1"/>
  <c r="K231" i="4"/>
  <c r="K224" i="4"/>
  <c r="L224" i="4" s="1"/>
  <c r="K223" i="4"/>
  <c r="K214" i="4"/>
  <c r="L214" i="4" s="1"/>
  <c r="K213" i="4"/>
  <c r="K206" i="4"/>
  <c r="L206" i="4" s="1"/>
  <c r="K205" i="4"/>
  <c r="K197" i="4"/>
  <c r="K189" i="4"/>
  <c r="L189" i="4" s="1"/>
  <c r="K188" i="4"/>
  <c r="I275" i="4"/>
  <c r="L275" i="4" s="1"/>
  <c r="J274" i="4"/>
  <c r="K274" i="4" s="1"/>
  <c r="I274" i="4"/>
  <c r="L274" i="4" s="1"/>
  <c r="I266" i="4"/>
  <c r="J265" i="4"/>
  <c r="K265" i="4" s="1"/>
  <c r="I265" i="4"/>
  <c r="I257" i="4"/>
  <c r="J256" i="4"/>
  <c r="K256" i="4" s="1"/>
  <c r="I256" i="4"/>
  <c r="L256" i="4" s="1"/>
  <c r="I231" i="4"/>
  <c r="I179" i="4"/>
  <c r="I188" i="4"/>
  <c r="L188" i="4" s="1"/>
  <c r="I197" i="4"/>
  <c r="L197" i="4" s="1"/>
  <c r="I205" i="4"/>
  <c r="I213" i="4"/>
  <c r="L213" i="4" s="1"/>
  <c r="I223" i="4"/>
  <c r="I247" i="4"/>
  <c r="L247" i="4" s="1"/>
  <c r="I239" i="4"/>
  <c r="J246" i="4"/>
  <c r="K246" i="4" s="1"/>
  <c r="I246" i="4"/>
  <c r="J238" i="4"/>
  <c r="K238" i="4" s="1"/>
  <c r="I238" i="4"/>
  <c r="J230" i="4"/>
  <c r="K230" i="4" s="1"/>
  <c r="I230" i="4"/>
  <c r="J222" i="4"/>
  <c r="K222" i="4" s="1"/>
  <c r="I222" i="4"/>
  <c r="J212" i="4"/>
  <c r="K212" i="4" s="1"/>
  <c r="I212" i="4"/>
  <c r="J204" i="4"/>
  <c r="K204" i="4" s="1"/>
  <c r="I204" i="4"/>
  <c r="K198" i="4"/>
  <c r="L198" i="4" s="1"/>
  <c r="J196" i="4"/>
  <c r="K196" i="4" s="1"/>
  <c r="I196" i="4"/>
  <c r="L196" i="4" s="1"/>
  <c r="J187" i="4"/>
  <c r="K187" i="4" s="1"/>
  <c r="I187" i="4"/>
  <c r="L187" i="4" s="1"/>
  <c r="K180" i="4"/>
  <c r="L180" i="4" s="1"/>
  <c r="K179" i="4"/>
  <c r="J178" i="4"/>
  <c r="K178" i="4" s="1"/>
  <c r="I178" i="4"/>
  <c r="L178" i="4" s="1"/>
  <c r="K169" i="4"/>
  <c r="I169" i="4"/>
  <c r="K167" i="4"/>
  <c r="I167" i="4"/>
  <c r="K164" i="4"/>
  <c r="I164" i="4"/>
  <c r="K160" i="4"/>
  <c r="I160" i="4"/>
  <c r="K157" i="4"/>
  <c r="I157" i="4"/>
  <c r="I19" i="4"/>
  <c r="I36" i="4"/>
  <c r="I49" i="4"/>
  <c r="I57" i="4"/>
  <c r="I70" i="4"/>
  <c r="I78" i="4"/>
  <c r="I91" i="4"/>
  <c r="I153" i="4"/>
  <c r="I138" i="4"/>
  <c r="I109" i="4"/>
  <c r="I99" i="4"/>
  <c r="K153" i="4"/>
  <c r="J152" i="4"/>
  <c r="K152" i="4" s="1"/>
  <c r="I152" i="4"/>
  <c r="K145" i="4"/>
  <c r="L145" i="4" s="1"/>
  <c r="K144" i="4"/>
  <c r="I144" i="4"/>
  <c r="J143" i="4"/>
  <c r="K143" i="4" s="1"/>
  <c r="I143" i="4"/>
  <c r="K139" i="4"/>
  <c r="L139" i="4" s="1"/>
  <c r="K138" i="4"/>
  <c r="J137" i="4"/>
  <c r="K137" i="4" s="1"/>
  <c r="I137" i="4"/>
  <c r="I128" i="4"/>
  <c r="I12" i="4"/>
  <c r="I27" i="4"/>
  <c r="J128" i="4"/>
  <c r="K128" i="4" s="1"/>
  <c r="I116" i="4"/>
  <c r="I129" i="4"/>
  <c r="K117" i="4"/>
  <c r="L117" i="4" s="1"/>
  <c r="K129" i="4"/>
  <c r="K116" i="4"/>
  <c r="K100" i="4"/>
  <c r="L100" i="4" s="1"/>
  <c r="K109" i="4"/>
  <c r="K104" i="4"/>
  <c r="L104" i="4" s="1"/>
  <c r="K99" i="4"/>
  <c r="K91" i="4"/>
  <c r="K84" i="4"/>
  <c r="I84" i="4"/>
  <c r="K79" i="4"/>
  <c r="L79" i="4" s="1"/>
  <c r="K78" i="4"/>
  <c r="K63" i="4"/>
  <c r="K57" i="4"/>
  <c r="K70" i="4"/>
  <c r="I63" i="4"/>
  <c r="K58" i="4"/>
  <c r="L58" i="4" s="1"/>
  <c r="K13" i="4"/>
  <c r="K37" i="4"/>
  <c r="L37" i="4" s="1"/>
  <c r="K42" i="4"/>
  <c r="K36" i="4"/>
  <c r="K49" i="4"/>
  <c r="I42" i="4"/>
  <c r="I28" i="4"/>
  <c r="I13" i="4"/>
  <c r="L13" i="4" s="1"/>
  <c r="J27" i="4"/>
  <c r="K27" i="4" s="1"/>
  <c r="K20" i="4"/>
  <c r="L20" i="4" s="1"/>
  <c r="C51" i="8" l="1"/>
  <c r="E51" i="8" s="1"/>
  <c r="C52" i="8"/>
  <c r="C46" i="8"/>
  <c r="E45" i="8"/>
  <c r="H51" i="8"/>
  <c r="L27" i="4"/>
  <c r="L42" i="4"/>
  <c r="L116" i="4"/>
  <c r="L128" i="4"/>
  <c r="L153" i="4"/>
  <c r="L57" i="4"/>
  <c r="L157" i="4"/>
  <c r="L164" i="4"/>
  <c r="L169" i="4"/>
  <c r="L91" i="4"/>
  <c r="L152" i="4"/>
  <c r="L78" i="4"/>
  <c r="L160" i="4"/>
  <c r="L167" i="4"/>
  <c r="L467" i="4"/>
  <c r="L84" i="4"/>
  <c r="L137" i="4"/>
  <c r="L143" i="4"/>
  <c r="L99" i="4"/>
  <c r="L49" i="4"/>
  <c r="L212" i="4"/>
  <c r="L230" i="4"/>
  <c r="L246" i="4"/>
  <c r="L223" i="4"/>
  <c r="L266" i="4"/>
  <c r="L286" i="4"/>
  <c r="L292" i="4"/>
  <c r="L423" i="4"/>
  <c r="L109" i="4"/>
  <c r="L36" i="4"/>
  <c r="L179" i="4"/>
  <c r="L257" i="4"/>
  <c r="L457" i="4"/>
  <c r="L63" i="4"/>
  <c r="L129" i="4"/>
  <c r="L144" i="4"/>
  <c r="L138" i="4"/>
  <c r="L70" i="4"/>
  <c r="L19" i="4"/>
  <c r="L204" i="4"/>
  <c r="L222" i="4"/>
  <c r="L238" i="4"/>
  <c r="L239" i="4"/>
  <c r="L205" i="4"/>
  <c r="L231" i="4"/>
  <c r="L265" i="4"/>
  <c r="L279" i="4"/>
  <c r="L300" i="4"/>
  <c r="L482" i="4"/>
  <c r="K28" i="4"/>
  <c r="L28" i="4" s="1"/>
  <c r="K19" i="4"/>
  <c r="I18" i="4"/>
  <c r="J18" i="4"/>
  <c r="K18" i="4" s="1"/>
  <c r="J12" i="4"/>
  <c r="K12" i="4" s="1"/>
  <c r="K14" i="4"/>
  <c r="L14" i="4" s="1"/>
  <c r="C47" i="8" l="1"/>
  <c r="E46" i="8"/>
  <c r="C53" i="8"/>
  <c r="E52" i="8"/>
  <c r="H52" i="8"/>
  <c r="L18" i="4"/>
  <c r="L12" i="4"/>
  <c r="D3" i="4"/>
  <c r="K622" i="4" s="1"/>
  <c r="L622" i="4" s="1"/>
  <c r="C48" i="8" l="1"/>
  <c r="E47" i="8"/>
  <c r="C54" i="8"/>
  <c r="E53" i="8"/>
  <c r="H53" i="8"/>
  <c r="K621" i="4"/>
  <c r="L621" i="4" s="1"/>
  <c r="O621" i="4" s="1"/>
  <c r="K617" i="4"/>
  <c r="L617" i="4" s="1"/>
  <c r="K610" i="4"/>
  <c r="L610" i="4" s="1"/>
  <c r="K603" i="4"/>
  <c r="L603" i="4" s="1"/>
  <c r="K599" i="4"/>
  <c r="L599" i="4" s="1"/>
  <c r="K592" i="4"/>
  <c r="L592" i="4" s="1"/>
  <c r="K654" i="4"/>
  <c r="K650" i="4"/>
  <c r="K647" i="4"/>
  <c r="K640" i="4"/>
  <c r="K636" i="4"/>
  <c r="K616" i="4"/>
  <c r="L616" i="4" s="1"/>
  <c r="K602" i="4"/>
  <c r="L602" i="4" s="1"/>
  <c r="K598" i="4"/>
  <c r="L598" i="4" s="1"/>
  <c r="K591" i="4"/>
  <c r="L591" i="4" s="1"/>
  <c r="K653" i="4"/>
  <c r="K639" i="4"/>
  <c r="K635" i="4"/>
  <c r="K615" i="4"/>
  <c r="L615" i="4" s="1"/>
  <c r="K608" i="4"/>
  <c r="L608" i="4" s="1"/>
  <c r="K601" i="4"/>
  <c r="L601" i="4" s="1"/>
  <c r="K594" i="4"/>
  <c r="L594" i="4" s="1"/>
  <c r="K652" i="4"/>
  <c r="K645" i="4"/>
  <c r="K642" i="4"/>
  <c r="K638" i="4"/>
  <c r="K609" i="4"/>
  <c r="L609" i="4" s="1"/>
  <c r="K595" i="4"/>
  <c r="L595" i="4" s="1"/>
  <c r="K649" i="4"/>
  <c r="K646" i="4"/>
  <c r="K618" i="4"/>
  <c r="L618" i="4" s="1"/>
  <c r="K614" i="4"/>
  <c r="L614" i="4" s="1"/>
  <c r="K611" i="4"/>
  <c r="L611" i="4" s="1"/>
  <c r="K607" i="4"/>
  <c r="L607" i="4" s="1"/>
  <c r="K604" i="4"/>
  <c r="L604" i="4" s="1"/>
  <c r="K600" i="4"/>
  <c r="L600" i="4" s="1"/>
  <c r="K593" i="4"/>
  <c r="L593" i="4" s="1"/>
  <c r="K651" i="4"/>
  <c r="K641" i="4"/>
  <c r="K637" i="4"/>
  <c r="K587" i="4"/>
  <c r="L587" i="4" s="1"/>
  <c r="K585" i="4"/>
  <c r="L585" i="4" s="1"/>
  <c r="K586" i="4"/>
  <c r="L586" i="4" s="1"/>
  <c r="K588" i="4"/>
  <c r="L588" i="4" s="1"/>
  <c r="K584" i="4"/>
  <c r="L584" i="4" s="1"/>
  <c r="K550" i="4"/>
  <c r="L550" i="4" s="1"/>
  <c r="K581" i="4"/>
  <c r="L581" i="4" s="1"/>
  <c r="K577" i="4"/>
  <c r="L577" i="4" s="1"/>
  <c r="K580" i="4"/>
  <c r="L580" i="4" s="1"/>
  <c r="K576" i="4"/>
  <c r="L576" i="4" s="1"/>
  <c r="K579" i="4"/>
  <c r="L579" i="4" s="1"/>
  <c r="K575" i="4"/>
  <c r="L575" i="4" s="1"/>
  <c r="K578" i="4"/>
  <c r="L578" i="4" s="1"/>
  <c r="K574" i="4"/>
  <c r="L574" i="4" s="1"/>
  <c r="K566" i="4"/>
  <c r="L566" i="4" s="1"/>
  <c r="K571" i="4"/>
  <c r="L571" i="4" s="1"/>
  <c r="K563" i="4"/>
  <c r="L563" i="4" s="1"/>
  <c r="K561" i="4"/>
  <c r="L561" i="4" s="1"/>
  <c r="K540" i="4"/>
  <c r="L540" i="4" s="1"/>
  <c r="K568" i="4"/>
  <c r="L568" i="4" s="1"/>
  <c r="K560" i="4"/>
  <c r="L560" i="4" s="1"/>
  <c r="K572" i="4"/>
  <c r="L572" i="4" s="1"/>
  <c r="K570" i="4"/>
  <c r="L570" i="4" s="1"/>
  <c r="K567" i="4"/>
  <c r="L567" i="4" s="1"/>
  <c r="K562" i="4"/>
  <c r="L562" i="4" s="1"/>
  <c r="K559" i="4"/>
  <c r="L559" i="4" s="1"/>
  <c r="K538" i="4"/>
  <c r="L538" i="4" s="1"/>
  <c r="K534" i="4"/>
  <c r="L534" i="4" s="1"/>
  <c r="K528" i="4"/>
  <c r="L528" i="4" s="1"/>
  <c r="K548" i="4"/>
  <c r="L548" i="4" s="1"/>
  <c r="K555" i="4"/>
  <c r="L555" i="4" s="1"/>
  <c r="K552" i="4"/>
  <c r="L552" i="4" s="1"/>
  <c r="K547" i="4"/>
  <c r="L547" i="4" s="1"/>
  <c r="K544" i="4"/>
  <c r="L544" i="4" s="1"/>
  <c r="K557" i="4"/>
  <c r="L557" i="4" s="1"/>
  <c r="K554" i="4"/>
  <c r="L554" i="4" s="1"/>
  <c r="K551" i="4"/>
  <c r="L551" i="4" s="1"/>
  <c r="K546" i="4"/>
  <c r="L546" i="4" s="1"/>
  <c r="K543" i="4"/>
  <c r="L543" i="4" s="1"/>
  <c r="K556" i="4"/>
  <c r="L556" i="4" s="1"/>
  <c r="K545" i="4"/>
  <c r="L545" i="4" s="1"/>
  <c r="K513" i="4"/>
  <c r="L513" i="4" s="1"/>
  <c r="K508" i="4"/>
  <c r="L508" i="4" s="1"/>
  <c r="K524" i="4"/>
  <c r="L524" i="4" s="1"/>
  <c r="K520" i="4"/>
  <c r="L520" i="4" s="1"/>
  <c r="K517" i="4"/>
  <c r="L517" i="4" s="1"/>
  <c r="K510" i="4"/>
  <c r="L510" i="4" s="1"/>
  <c r="K497" i="4"/>
  <c r="L497" i="4" s="1"/>
  <c r="K489" i="4"/>
  <c r="L489" i="4" s="1"/>
  <c r="K485" i="4"/>
  <c r="L485" i="4" s="1"/>
  <c r="K481" i="4"/>
  <c r="L481" i="4" s="1"/>
  <c r="K477" i="4"/>
  <c r="L477" i="4" s="1"/>
  <c r="K473" i="4"/>
  <c r="L473" i="4" s="1"/>
  <c r="K465" i="4"/>
  <c r="L465" i="4" s="1"/>
  <c r="K461" i="4"/>
  <c r="L461" i="4" s="1"/>
  <c r="K453" i="4"/>
  <c r="L453" i="4" s="1"/>
  <c r="K445" i="4"/>
  <c r="L445" i="4" s="1"/>
  <c r="K437" i="4"/>
  <c r="L437" i="4" s="1"/>
  <c r="K433" i="4"/>
  <c r="L433" i="4" s="1"/>
  <c r="K429" i="4"/>
  <c r="L429" i="4" s="1"/>
  <c r="K421" i="4"/>
  <c r="L421" i="4" s="1"/>
  <c r="K417" i="4"/>
  <c r="L417" i="4" s="1"/>
  <c r="K413" i="4"/>
  <c r="L413" i="4" s="1"/>
  <c r="O413" i="4" s="1"/>
  <c r="K401" i="4"/>
  <c r="L401" i="4" s="1"/>
  <c r="K393" i="4"/>
  <c r="L393" i="4" s="1"/>
  <c r="K389" i="4"/>
  <c r="L389" i="4" s="1"/>
  <c r="K381" i="4"/>
  <c r="L381" i="4" s="1"/>
  <c r="K373" i="4"/>
  <c r="L373" i="4" s="1"/>
  <c r="K369" i="4"/>
  <c r="L369" i="4" s="1"/>
  <c r="K361" i="4"/>
  <c r="L361" i="4" s="1"/>
  <c r="K357" i="4"/>
  <c r="L357" i="4" s="1"/>
  <c r="K353" i="4"/>
  <c r="L353" i="4" s="1"/>
  <c r="K349" i="4"/>
  <c r="L349" i="4" s="1"/>
  <c r="K344" i="4"/>
  <c r="L344" i="4" s="1"/>
  <c r="K340" i="4"/>
  <c r="L340" i="4" s="1"/>
  <c r="K336" i="4"/>
  <c r="L336" i="4" s="1"/>
  <c r="K332" i="4"/>
  <c r="L332" i="4" s="1"/>
  <c r="K328" i="4"/>
  <c r="L328" i="4" s="1"/>
  <c r="K324" i="4"/>
  <c r="L324" i="4" s="1"/>
  <c r="K320" i="4"/>
  <c r="L320" i="4" s="1"/>
  <c r="K316" i="4"/>
  <c r="L316" i="4" s="1"/>
  <c r="K312" i="4"/>
  <c r="L312" i="4" s="1"/>
  <c r="K308" i="4"/>
  <c r="L308" i="4" s="1"/>
  <c r="K304" i="4"/>
  <c r="L304" i="4" s="1"/>
  <c r="K296" i="4"/>
  <c r="L296" i="4" s="1"/>
  <c r="K290" i="4"/>
  <c r="L290" i="4" s="1"/>
  <c r="K282" i="4"/>
  <c r="L282" i="4" s="1"/>
  <c r="K323" i="4"/>
  <c r="L323" i="4" s="1"/>
  <c r="K319" i="4"/>
  <c r="L319" i="4" s="1"/>
  <c r="K303" i="4"/>
  <c r="L303" i="4" s="1"/>
  <c r="K299" i="4"/>
  <c r="L299" i="4" s="1"/>
  <c r="K281" i="4"/>
  <c r="L281" i="4" s="1"/>
  <c r="K494" i="4"/>
  <c r="L494" i="4" s="1"/>
  <c r="K470" i="4"/>
  <c r="L470" i="4" s="1"/>
  <c r="K462" i="4"/>
  <c r="L462" i="4" s="1"/>
  <c r="K454" i="4"/>
  <c r="L454" i="4" s="1"/>
  <c r="K446" i="4"/>
  <c r="L446" i="4" s="1"/>
  <c r="K394" i="4"/>
  <c r="L394" i="4" s="1"/>
  <c r="K362" i="4"/>
  <c r="L362" i="4" s="1"/>
  <c r="K358" i="4"/>
  <c r="L358" i="4" s="1"/>
  <c r="K313" i="4"/>
  <c r="L313" i="4" s="1"/>
  <c r="K283" i="4"/>
  <c r="L283" i="4" s="1"/>
  <c r="K531" i="4"/>
  <c r="L531" i="4" s="1"/>
  <c r="K523" i="4"/>
  <c r="L523" i="4" s="1"/>
  <c r="K516" i="4"/>
  <c r="L516" i="4" s="1"/>
  <c r="K509" i="4"/>
  <c r="L509" i="4" s="1"/>
  <c r="K504" i="4"/>
  <c r="L504" i="4" s="1"/>
  <c r="K496" i="4"/>
  <c r="L496" i="4" s="1"/>
  <c r="K488" i="4"/>
  <c r="L488" i="4" s="1"/>
  <c r="K480" i="4"/>
  <c r="L480" i="4" s="1"/>
  <c r="K472" i="4"/>
  <c r="L472" i="4" s="1"/>
  <c r="K464" i="4"/>
  <c r="L464" i="4" s="1"/>
  <c r="K460" i="4"/>
  <c r="L460" i="4" s="1"/>
  <c r="K456" i="4"/>
  <c r="L456" i="4" s="1"/>
  <c r="K452" i="4"/>
  <c r="L452" i="4" s="1"/>
  <c r="K444" i="4"/>
  <c r="L444" i="4" s="1"/>
  <c r="K432" i="4"/>
  <c r="L432" i="4" s="1"/>
  <c r="K428" i="4"/>
  <c r="L428" i="4" s="1"/>
  <c r="K420" i="4"/>
  <c r="L420" i="4" s="1"/>
  <c r="K416" i="4"/>
  <c r="L416" i="4" s="1"/>
  <c r="K408" i="4"/>
  <c r="L408" i="4" s="1"/>
  <c r="K404" i="4"/>
  <c r="L404" i="4" s="1"/>
  <c r="K400" i="4"/>
  <c r="L400" i="4" s="1"/>
  <c r="K396" i="4"/>
  <c r="L396" i="4" s="1"/>
  <c r="K392" i="4"/>
  <c r="L392" i="4" s="1"/>
  <c r="K388" i="4"/>
  <c r="L388" i="4" s="1"/>
  <c r="K380" i="4"/>
  <c r="L380" i="4" s="1"/>
  <c r="K376" i="4"/>
  <c r="L376" i="4" s="1"/>
  <c r="K372" i="4"/>
  <c r="L372" i="4" s="1"/>
  <c r="K368" i="4"/>
  <c r="L368" i="4" s="1"/>
  <c r="K364" i="4"/>
  <c r="L364" i="4" s="1"/>
  <c r="K360" i="4"/>
  <c r="L360" i="4" s="1"/>
  <c r="K356" i="4"/>
  <c r="L356" i="4" s="1"/>
  <c r="K348" i="4"/>
  <c r="L348" i="4" s="1"/>
  <c r="K343" i="4"/>
  <c r="L343" i="4" s="1"/>
  <c r="K335" i="4"/>
  <c r="L335" i="4" s="1"/>
  <c r="K331" i="4"/>
  <c r="L331" i="4" s="1"/>
  <c r="K327" i="4"/>
  <c r="L327" i="4" s="1"/>
  <c r="K315" i="4"/>
  <c r="L315" i="4" s="1"/>
  <c r="K311" i="4"/>
  <c r="L311" i="4" s="1"/>
  <c r="O310" i="4" s="1"/>
  <c r="K307" i="4"/>
  <c r="L307" i="4" s="1"/>
  <c r="K295" i="4"/>
  <c r="L295" i="4" s="1"/>
  <c r="K289" i="4"/>
  <c r="L289" i="4" s="1"/>
  <c r="K285" i="4"/>
  <c r="L285" i="4" s="1"/>
  <c r="K294" i="4"/>
  <c r="L294" i="4" s="1"/>
  <c r="K284" i="4"/>
  <c r="L284" i="4" s="1"/>
  <c r="K490" i="4"/>
  <c r="L490" i="4" s="1"/>
  <c r="K466" i="4"/>
  <c r="L466" i="4" s="1"/>
  <c r="K422" i="4"/>
  <c r="L422" i="4" s="1"/>
  <c r="K386" i="4"/>
  <c r="L386" i="4" s="1"/>
  <c r="K378" i="4"/>
  <c r="L378" i="4" s="1"/>
  <c r="K350" i="4"/>
  <c r="L350" i="4" s="1"/>
  <c r="K325" i="4"/>
  <c r="L325" i="4" s="1"/>
  <c r="K317" i="4"/>
  <c r="L317" i="4" s="1"/>
  <c r="K539" i="4"/>
  <c r="L539" i="4" s="1"/>
  <c r="K536" i="4"/>
  <c r="L536" i="4" s="1"/>
  <c r="K530" i="4"/>
  <c r="L530" i="4" s="1"/>
  <c r="K527" i="4"/>
  <c r="L527" i="4" s="1"/>
  <c r="K522" i="4"/>
  <c r="L522" i="4" s="1"/>
  <c r="K512" i="4"/>
  <c r="L512" i="4" s="1"/>
  <c r="K507" i="4"/>
  <c r="L507" i="4" s="1"/>
  <c r="K503" i="4"/>
  <c r="L503" i="4" s="1"/>
  <c r="K499" i="4"/>
  <c r="L499" i="4" s="1"/>
  <c r="K495" i="4"/>
  <c r="L495" i="4" s="1"/>
  <c r="K487" i="4"/>
  <c r="L487" i="4" s="1"/>
  <c r="K479" i="4"/>
  <c r="L479" i="4" s="1"/>
  <c r="K471" i="4"/>
  <c r="L471" i="4" s="1"/>
  <c r="K463" i="4"/>
  <c r="L463" i="4" s="1"/>
  <c r="K455" i="4"/>
  <c r="L455" i="4" s="1"/>
  <c r="K451" i="4"/>
  <c r="L451" i="4" s="1"/>
  <c r="K447" i="4"/>
  <c r="L447" i="4" s="1"/>
  <c r="K443" i="4"/>
  <c r="L443" i="4" s="1"/>
  <c r="K439" i="4"/>
  <c r="L439" i="4" s="1"/>
  <c r="K431" i="4"/>
  <c r="L431" i="4" s="1"/>
  <c r="K427" i="4"/>
  <c r="L427" i="4" s="1"/>
  <c r="K419" i="4"/>
  <c r="L419" i="4" s="1"/>
  <c r="K415" i="4"/>
  <c r="L415" i="4" s="1"/>
  <c r="K411" i="4"/>
  <c r="L411" i="4" s="1"/>
  <c r="K407" i="4"/>
  <c r="L407" i="4" s="1"/>
  <c r="K403" i="4"/>
  <c r="L403" i="4" s="1"/>
  <c r="O403" i="4" s="1"/>
  <c r="K399" i="4"/>
  <c r="L399" i="4" s="1"/>
  <c r="K395" i="4"/>
  <c r="L395" i="4" s="1"/>
  <c r="K391" i="4"/>
  <c r="L391" i="4" s="1"/>
  <c r="K387" i="4"/>
  <c r="L387" i="4" s="1"/>
  <c r="K383" i="4"/>
  <c r="L383" i="4" s="1"/>
  <c r="K379" i="4"/>
  <c r="L379" i="4" s="1"/>
  <c r="K375" i="4"/>
  <c r="L375" i="4" s="1"/>
  <c r="K367" i="4"/>
  <c r="L367" i="4" s="1"/>
  <c r="K363" i="4"/>
  <c r="L363" i="4" s="1"/>
  <c r="K355" i="4"/>
  <c r="L355" i="4" s="1"/>
  <c r="K351" i="4"/>
  <c r="L351" i="4" s="1"/>
  <c r="K342" i="4"/>
  <c r="L342" i="4" s="1"/>
  <c r="K338" i="4"/>
  <c r="L338" i="4" s="1"/>
  <c r="K326" i="4"/>
  <c r="L326" i="4" s="1"/>
  <c r="K322" i="4"/>
  <c r="L322" i="4" s="1"/>
  <c r="K318" i="4"/>
  <c r="L318" i="4" s="1"/>
  <c r="K306" i="4"/>
  <c r="L306" i="4" s="1"/>
  <c r="K302" i="4"/>
  <c r="L302" i="4" s="1"/>
  <c r="K298" i="4"/>
  <c r="L298" i="4" s="1"/>
  <c r="K478" i="4"/>
  <c r="L478" i="4" s="1"/>
  <c r="K418" i="4"/>
  <c r="L418" i="4" s="1"/>
  <c r="K410" i="4"/>
  <c r="L410" i="4" s="1"/>
  <c r="O410" i="4" s="1"/>
  <c r="K354" i="4"/>
  <c r="L354" i="4" s="1"/>
  <c r="K345" i="4"/>
  <c r="L345" i="4" s="1"/>
  <c r="K297" i="4"/>
  <c r="L297" i="4" s="1"/>
  <c r="K541" i="4"/>
  <c r="L541" i="4" s="1"/>
  <c r="K535" i="4"/>
  <c r="L535" i="4" s="1"/>
  <c r="K529" i="4"/>
  <c r="L529" i="4" s="1"/>
  <c r="K526" i="4"/>
  <c r="L526" i="4" s="1"/>
  <c r="K521" i="4"/>
  <c r="L521" i="4" s="1"/>
  <c r="K518" i="4"/>
  <c r="L518" i="4" s="1"/>
  <c r="K511" i="4"/>
  <c r="L511" i="4" s="1"/>
  <c r="K498" i="4"/>
  <c r="L498" i="4" s="1"/>
  <c r="K486" i="4"/>
  <c r="L486" i="4" s="1"/>
  <c r="K438" i="4"/>
  <c r="L438" i="4" s="1"/>
  <c r="K430" i="4"/>
  <c r="L430" i="4" s="1"/>
  <c r="K426" i="4"/>
  <c r="L426" i="4" s="1"/>
  <c r="K406" i="4"/>
  <c r="L406" i="4" s="1"/>
  <c r="K382" i="4"/>
  <c r="L382" i="4" s="1"/>
  <c r="K374" i="4"/>
  <c r="L374" i="4" s="1"/>
  <c r="K370" i="4"/>
  <c r="L370" i="4" s="1"/>
  <c r="K341" i="4"/>
  <c r="L341" i="4" s="1"/>
  <c r="K337" i="4"/>
  <c r="L337" i="4" s="1"/>
  <c r="K333" i="4"/>
  <c r="L333" i="4" s="1"/>
  <c r="K305" i="4"/>
  <c r="L305" i="4" s="1"/>
  <c r="K291" i="4"/>
  <c r="L291" i="4" s="1"/>
  <c r="K277" i="4"/>
  <c r="L277" i="4" s="1"/>
  <c r="K278" i="4"/>
  <c r="L278" i="4" s="1"/>
  <c r="K272" i="4"/>
  <c r="L272" i="4" s="1"/>
  <c r="K273" i="4"/>
  <c r="L273" i="4" s="1"/>
  <c r="K268" i="4"/>
  <c r="L268" i="4" s="1"/>
  <c r="K264" i="4"/>
  <c r="L264" i="4" s="1"/>
  <c r="K260" i="4"/>
  <c r="L260" i="4" s="1"/>
  <c r="K252" i="4"/>
  <c r="L252" i="4" s="1"/>
  <c r="K244" i="4"/>
  <c r="L244" i="4" s="1"/>
  <c r="K236" i="4"/>
  <c r="L236" i="4" s="1"/>
  <c r="K228" i="4"/>
  <c r="L228" i="4" s="1"/>
  <c r="K220" i="4"/>
  <c r="L220" i="4" s="1"/>
  <c r="K216" i="4"/>
  <c r="L216" i="4" s="1"/>
  <c r="K208" i="4"/>
  <c r="L208" i="4" s="1"/>
  <c r="K200" i="4"/>
  <c r="L200" i="4" s="1"/>
  <c r="K195" i="4"/>
  <c r="L195" i="4" s="1"/>
  <c r="K191" i="4"/>
  <c r="L191" i="4" s="1"/>
  <c r="K183" i="4"/>
  <c r="L183" i="4" s="1"/>
  <c r="K176" i="4"/>
  <c r="L176" i="4" s="1"/>
  <c r="K172" i="4"/>
  <c r="L172" i="4" s="1"/>
  <c r="K271" i="4"/>
  <c r="L271" i="4" s="1"/>
  <c r="K263" i="4"/>
  <c r="L263" i="4" s="1"/>
  <c r="K259" i="4"/>
  <c r="L259" i="4" s="1"/>
  <c r="K255" i="4"/>
  <c r="L255" i="4" s="1"/>
  <c r="K251" i="4"/>
  <c r="L251" i="4" s="1"/>
  <c r="K243" i="4"/>
  <c r="L243" i="4" s="1"/>
  <c r="K235" i="4"/>
  <c r="L235" i="4" s="1"/>
  <c r="K227" i="4"/>
  <c r="L227" i="4" s="1"/>
  <c r="K219" i="4"/>
  <c r="L219" i="4" s="1"/>
  <c r="K215" i="4"/>
  <c r="L215" i="4" s="1"/>
  <c r="K211" i="4"/>
  <c r="L211" i="4" s="1"/>
  <c r="K207" i="4"/>
  <c r="L207" i="4" s="1"/>
  <c r="K203" i="4"/>
  <c r="L203" i="4" s="1"/>
  <c r="K199" i="4"/>
  <c r="L199" i="4" s="1"/>
  <c r="K194" i="4"/>
  <c r="L194" i="4" s="1"/>
  <c r="K190" i="4"/>
  <c r="L190" i="4" s="1"/>
  <c r="K186" i="4"/>
  <c r="L186" i="4" s="1"/>
  <c r="K182" i="4"/>
  <c r="L182" i="4" s="1"/>
  <c r="K175" i="4"/>
  <c r="L175" i="4" s="1"/>
  <c r="K269" i="4"/>
  <c r="L269" i="4" s="1"/>
  <c r="K253" i="4"/>
  <c r="L253" i="4" s="1"/>
  <c r="K249" i="4"/>
  <c r="L249" i="4" s="1"/>
  <c r="K241" i="4"/>
  <c r="L241" i="4" s="1"/>
  <c r="K233" i="4"/>
  <c r="L233" i="4" s="1"/>
  <c r="K229" i="4"/>
  <c r="L229" i="4" s="1"/>
  <c r="K217" i="4"/>
  <c r="L217" i="4" s="1"/>
  <c r="K192" i="4"/>
  <c r="L192" i="4" s="1"/>
  <c r="K184" i="4"/>
  <c r="L184" i="4" s="1"/>
  <c r="K177" i="4"/>
  <c r="L177" i="4" s="1"/>
  <c r="K270" i="4"/>
  <c r="L270" i="4" s="1"/>
  <c r="K262" i="4"/>
  <c r="L262" i="4" s="1"/>
  <c r="K254" i="4"/>
  <c r="L254" i="4" s="1"/>
  <c r="K250" i="4"/>
  <c r="L250" i="4" s="1"/>
  <c r="K242" i="4"/>
  <c r="L242" i="4" s="1"/>
  <c r="K234" i="4"/>
  <c r="L234" i="4" s="1"/>
  <c r="K226" i="4"/>
  <c r="L226" i="4" s="1"/>
  <c r="K218" i="4"/>
  <c r="L218" i="4" s="1"/>
  <c r="K210" i="4"/>
  <c r="L210" i="4" s="1"/>
  <c r="K202" i="4"/>
  <c r="L202" i="4" s="1"/>
  <c r="K193" i="4"/>
  <c r="L193" i="4" s="1"/>
  <c r="K185" i="4"/>
  <c r="L185" i="4" s="1"/>
  <c r="K181" i="4"/>
  <c r="L181" i="4" s="1"/>
  <c r="K174" i="4"/>
  <c r="L174" i="4" s="1"/>
  <c r="K261" i="4"/>
  <c r="L261" i="4" s="1"/>
  <c r="K245" i="4"/>
  <c r="L245" i="4" s="1"/>
  <c r="K237" i="4"/>
  <c r="L237" i="4" s="1"/>
  <c r="K225" i="4"/>
  <c r="L225" i="4" s="1"/>
  <c r="K221" i="4"/>
  <c r="L221" i="4" s="1"/>
  <c r="K209" i="4"/>
  <c r="L209" i="4" s="1"/>
  <c r="K201" i="4"/>
  <c r="L201" i="4" s="1"/>
  <c r="K173" i="4"/>
  <c r="L173" i="4" s="1"/>
  <c r="K171" i="4"/>
  <c r="L171" i="4" s="1"/>
  <c r="K168" i="4"/>
  <c r="L168" i="4" s="1"/>
  <c r="O168" i="4" s="1"/>
  <c r="K170" i="4"/>
  <c r="L170" i="4" s="1"/>
  <c r="K161" i="4"/>
  <c r="L161" i="4" s="1"/>
  <c r="K163" i="4"/>
  <c r="L163" i="4" s="1"/>
  <c r="K162" i="4"/>
  <c r="L162" i="4" s="1"/>
  <c r="K158" i="4"/>
  <c r="L158" i="4" s="1"/>
  <c r="K165" i="4"/>
  <c r="L165" i="4" s="1"/>
  <c r="K166" i="4"/>
  <c r="L166" i="4" s="1"/>
  <c r="K159" i="4"/>
  <c r="L159" i="4" s="1"/>
  <c r="K156" i="4"/>
  <c r="L156" i="4" s="1"/>
  <c r="K155" i="4"/>
  <c r="L155" i="4" s="1"/>
  <c r="K150" i="4"/>
  <c r="L150" i="4" s="1"/>
  <c r="K146" i="4"/>
  <c r="L146" i="4" s="1"/>
  <c r="K140" i="4"/>
  <c r="L140" i="4" s="1"/>
  <c r="K133" i="4"/>
  <c r="L133" i="4" s="1"/>
  <c r="K142" i="4"/>
  <c r="L142" i="4" s="1"/>
  <c r="K154" i="4"/>
  <c r="L154" i="4" s="1"/>
  <c r="K149" i="4"/>
  <c r="L149" i="4" s="1"/>
  <c r="K136" i="4"/>
  <c r="L136" i="4" s="1"/>
  <c r="K132" i="4"/>
  <c r="L132" i="4" s="1"/>
  <c r="K5" i="4"/>
  <c r="L5" i="4" s="1"/>
  <c r="K148" i="4"/>
  <c r="L148" i="4" s="1"/>
  <c r="K135" i="4"/>
  <c r="L135" i="4" s="1"/>
  <c r="K131" i="4"/>
  <c r="L131" i="4" s="1"/>
  <c r="K151" i="4"/>
  <c r="L151" i="4" s="1"/>
  <c r="K147" i="4"/>
  <c r="L147" i="4" s="1"/>
  <c r="K141" i="4"/>
  <c r="L141" i="4" s="1"/>
  <c r="K134" i="4"/>
  <c r="L134" i="4" s="1"/>
  <c r="K130" i="4"/>
  <c r="L130" i="4" s="1"/>
  <c r="K127" i="4"/>
  <c r="L127" i="4" s="1"/>
  <c r="K120" i="4"/>
  <c r="L120" i="4" s="1"/>
  <c r="K126" i="4"/>
  <c r="L126" i="4" s="1"/>
  <c r="K122" i="4"/>
  <c r="L122" i="4" s="1"/>
  <c r="K113" i="4"/>
  <c r="L113" i="4" s="1"/>
  <c r="K110" i="4"/>
  <c r="L110" i="4" s="1"/>
  <c r="K119" i="4"/>
  <c r="L119" i="4" s="1"/>
  <c r="K111" i="4"/>
  <c r="L111" i="4" s="1"/>
  <c r="K125" i="4"/>
  <c r="L125" i="4" s="1"/>
  <c r="K121" i="4"/>
  <c r="L121" i="4" s="1"/>
  <c r="K112" i="4"/>
  <c r="L112" i="4" s="1"/>
  <c r="K124" i="4"/>
  <c r="L124" i="4" s="1"/>
  <c r="K123" i="4"/>
  <c r="L123" i="4" s="1"/>
  <c r="K118" i="4"/>
  <c r="L118" i="4" s="1"/>
  <c r="K114" i="4"/>
  <c r="L114" i="4" s="1"/>
  <c r="K115" i="4"/>
  <c r="L115" i="4" s="1"/>
  <c r="K108" i="4"/>
  <c r="L108" i="4" s="1"/>
  <c r="K105" i="4"/>
  <c r="L105" i="4" s="1"/>
  <c r="K102" i="4"/>
  <c r="L102" i="4" s="1"/>
  <c r="K96" i="4"/>
  <c r="L96" i="4" s="1"/>
  <c r="K101" i="4"/>
  <c r="L101" i="4" s="1"/>
  <c r="K95" i="4"/>
  <c r="L95" i="4" s="1"/>
  <c r="K92" i="4"/>
  <c r="L92" i="4" s="1"/>
  <c r="K107" i="4"/>
  <c r="L107" i="4" s="1"/>
  <c r="K94" i="4"/>
  <c r="L94" i="4" s="1"/>
  <c r="K97" i="4"/>
  <c r="L97" i="4" s="1"/>
  <c r="K106" i="4"/>
  <c r="L106" i="4" s="1"/>
  <c r="K103" i="4"/>
  <c r="L103" i="4" s="1"/>
  <c r="K98" i="4"/>
  <c r="L98" i="4" s="1"/>
  <c r="K93" i="4"/>
  <c r="L93" i="4" s="1"/>
  <c r="K90" i="4"/>
  <c r="L90" i="4" s="1"/>
  <c r="K86" i="4"/>
  <c r="L86" i="4" s="1"/>
  <c r="K81" i="4"/>
  <c r="L81" i="4" s="1"/>
  <c r="K76" i="4"/>
  <c r="L76" i="4" s="1"/>
  <c r="K72" i="4"/>
  <c r="L72" i="4" s="1"/>
  <c r="K89" i="4"/>
  <c r="L89" i="4" s="1"/>
  <c r="K85" i="4"/>
  <c r="L85" i="4" s="1"/>
  <c r="K80" i="4"/>
  <c r="L80" i="4" s="1"/>
  <c r="K75" i="4"/>
  <c r="L75" i="4" s="1"/>
  <c r="K71" i="4"/>
  <c r="L71" i="4" s="1"/>
  <c r="K88" i="4"/>
  <c r="L88" i="4" s="1"/>
  <c r="K83" i="4"/>
  <c r="L83" i="4" s="1"/>
  <c r="K74" i="4"/>
  <c r="L74" i="4" s="1"/>
  <c r="K87" i="4"/>
  <c r="L87" i="4" s="1"/>
  <c r="K82" i="4"/>
  <c r="L82" i="4" s="1"/>
  <c r="K77" i="4"/>
  <c r="L77" i="4" s="1"/>
  <c r="K73" i="4"/>
  <c r="L73" i="4" s="1"/>
  <c r="K29" i="4"/>
  <c r="L29" i="4" s="1"/>
  <c r="K64" i="4"/>
  <c r="L64" i="4" s="1"/>
  <c r="K62" i="4"/>
  <c r="L62" i="4" s="1"/>
  <c r="K56" i="4"/>
  <c r="L56" i="4" s="1"/>
  <c r="K52" i="4"/>
  <c r="L52" i="4" s="1"/>
  <c r="K16" i="4"/>
  <c r="L16" i="4" s="1"/>
  <c r="K34" i="4"/>
  <c r="L34" i="4" s="1"/>
  <c r="K43" i="4"/>
  <c r="L43" i="4" s="1"/>
  <c r="K66" i="4"/>
  <c r="L66" i="4" s="1"/>
  <c r="K60" i="4"/>
  <c r="L60" i="4" s="1"/>
  <c r="K54" i="4"/>
  <c r="L54" i="4" s="1"/>
  <c r="K50" i="4"/>
  <c r="L50" i="4" s="1"/>
  <c r="K67" i="4"/>
  <c r="L67" i="4" s="1"/>
  <c r="K61" i="4"/>
  <c r="L61" i="4" s="1"/>
  <c r="K55" i="4"/>
  <c r="L55" i="4" s="1"/>
  <c r="K51" i="4"/>
  <c r="L51" i="4" s="1"/>
  <c r="K10" i="4"/>
  <c r="L10" i="4" s="1"/>
  <c r="K15" i="4"/>
  <c r="L15" i="4" s="1"/>
  <c r="K40" i="4"/>
  <c r="L40" i="4" s="1"/>
  <c r="K69" i="4"/>
  <c r="L69" i="4" s="1"/>
  <c r="K8" i="4"/>
  <c r="L8" i="4" s="1"/>
  <c r="K68" i="4"/>
  <c r="L68" i="4" s="1"/>
  <c r="K65" i="4"/>
  <c r="L65" i="4" s="1"/>
  <c r="K59" i="4"/>
  <c r="L59" i="4" s="1"/>
  <c r="K53" i="4"/>
  <c r="L53" i="4" s="1"/>
  <c r="K47" i="4"/>
  <c r="L47" i="4" s="1"/>
  <c r="K7" i="4"/>
  <c r="L7" i="4" s="1"/>
  <c r="K35" i="4"/>
  <c r="L35" i="4" s="1"/>
  <c r="K44" i="4"/>
  <c r="L44" i="4" s="1"/>
  <c r="K25" i="4"/>
  <c r="L25" i="4" s="1"/>
  <c r="K21" i="4"/>
  <c r="L21" i="4" s="1"/>
  <c r="K24" i="4"/>
  <c r="L24" i="4" s="1"/>
  <c r="K46" i="4"/>
  <c r="L46" i="4" s="1"/>
  <c r="K32" i="4"/>
  <c r="L32" i="4" s="1"/>
  <c r="K48" i="4"/>
  <c r="L48" i="4" s="1"/>
  <c r="K45" i="4"/>
  <c r="L45" i="4" s="1"/>
  <c r="K41" i="4"/>
  <c r="L41" i="4" s="1"/>
  <c r="K39" i="4"/>
  <c r="L39" i="4" s="1"/>
  <c r="K30" i="4"/>
  <c r="L30" i="4" s="1"/>
  <c r="K38" i="4"/>
  <c r="L38" i="4" s="1"/>
  <c r="K33" i="4"/>
  <c r="L33" i="4" s="1"/>
  <c r="K31" i="4"/>
  <c r="L31" i="4" s="1"/>
  <c r="K6" i="4"/>
  <c r="L6" i="4" s="1"/>
  <c r="K26" i="4"/>
  <c r="L26" i="4" s="1"/>
  <c r="K23" i="4"/>
  <c r="L23" i="4" s="1"/>
  <c r="K22" i="4"/>
  <c r="L22" i="4" s="1"/>
  <c r="K17" i="4"/>
  <c r="L17" i="4" s="1"/>
  <c r="K11" i="4"/>
  <c r="L11" i="4" s="1"/>
  <c r="K9" i="4"/>
  <c r="L9" i="4" s="1"/>
  <c r="P101" i="2"/>
  <c r="P98" i="2"/>
  <c r="P94" i="2"/>
  <c r="P91" i="2"/>
  <c r="P88" i="2"/>
  <c r="P85" i="2"/>
  <c r="P82" i="2"/>
  <c r="P79" i="2"/>
  <c r="P76" i="2"/>
  <c r="P73" i="2"/>
  <c r="P65" i="2"/>
  <c r="P58" i="2"/>
  <c r="P51" i="2"/>
  <c r="P43" i="2"/>
  <c r="P37" i="2"/>
  <c r="P31" i="2"/>
  <c r="P25" i="2"/>
  <c r="P17" i="2"/>
  <c r="P9" i="2"/>
  <c r="P3" i="2"/>
  <c r="O101" i="2"/>
  <c r="O98" i="2"/>
  <c r="O94" i="2"/>
  <c r="O91" i="2"/>
  <c r="O88" i="2"/>
  <c r="O85" i="2"/>
  <c r="O82" i="2"/>
  <c r="O79" i="2"/>
  <c r="O73" i="2"/>
  <c r="O76" i="2"/>
  <c r="O65" i="2"/>
  <c r="O58" i="2"/>
  <c r="O51" i="2"/>
  <c r="O43" i="2"/>
  <c r="O37" i="2"/>
  <c r="O31" i="2"/>
  <c r="O25" i="2"/>
  <c r="O17" i="2"/>
  <c r="O9" i="2"/>
  <c r="L98" i="2"/>
  <c r="L93" i="2"/>
  <c r="K102" i="2"/>
  <c r="L102" i="2" s="1"/>
  <c r="K103" i="2"/>
  <c r="L103" i="2" s="1"/>
  <c r="K101" i="2"/>
  <c r="L101" i="2" s="1"/>
  <c r="I101" i="2"/>
  <c r="K100" i="2"/>
  <c r="L100" i="2" s="1"/>
  <c r="K99" i="2"/>
  <c r="L99" i="2" s="1"/>
  <c r="K96" i="2"/>
  <c r="M96" i="2" s="1"/>
  <c r="I98" i="2"/>
  <c r="M98" i="2" s="1"/>
  <c r="K97" i="2"/>
  <c r="L97" i="2" s="1"/>
  <c r="K95" i="2"/>
  <c r="L95" i="2" s="1"/>
  <c r="K94" i="2"/>
  <c r="L94" i="2" s="1"/>
  <c r="I95" i="2"/>
  <c r="I94" i="2"/>
  <c r="K93" i="2"/>
  <c r="M93" i="2" s="1"/>
  <c r="K92" i="2"/>
  <c r="L92" i="2" s="1"/>
  <c r="K91" i="2"/>
  <c r="L91" i="2" s="1"/>
  <c r="I91" i="2"/>
  <c r="K90" i="2"/>
  <c r="L90" i="2" s="1"/>
  <c r="K89" i="2"/>
  <c r="L89" i="2" s="1"/>
  <c r="K87" i="2"/>
  <c r="L87" i="2" s="1"/>
  <c r="K86" i="2"/>
  <c r="L86" i="2" s="1"/>
  <c r="K88" i="2"/>
  <c r="I88" i="2"/>
  <c r="K85" i="2"/>
  <c r="L85" i="2" s="1"/>
  <c r="I85" i="2"/>
  <c r="K84" i="2"/>
  <c r="L84" i="2" s="1"/>
  <c r="K83" i="2"/>
  <c r="M83" i="2" s="1"/>
  <c r="K82" i="2"/>
  <c r="L82" i="2" s="1"/>
  <c r="I82" i="2"/>
  <c r="K81" i="2"/>
  <c r="M81" i="2" s="1"/>
  <c r="K80" i="2"/>
  <c r="L80" i="2" s="1"/>
  <c r="K79" i="2"/>
  <c r="L79" i="2" s="1"/>
  <c r="I79" i="2"/>
  <c r="K77" i="2"/>
  <c r="L77" i="2" s="1"/>
  <c r="K76" i="2"/>
  <c r="L76" i="2" s="1"/>
  <c r="K78" i="2"/>
  <c r="L78" i="2" s="1"/>
  <c r="I76" i="2"/>
  <c r="K70" i="2"/>
  <c r="M70" i="2" s="1"/>
  <c r="K71" i="2"/>
  <c r="L71" i="2" s="1"/>
  <c r="K72" i="2"/>
  <c r="L72" i="2" s="1"/>
  <c r="K69" i="2"/>
  <c r="L69" i="2" s="1"/>
  <c r="K63" i="2"/>
  <c r="L63" i="2" s="1"/>
  <c r="K64" i="2"/>
  <c r="L64" i="2" s="1"/>
  <c r="K62" i="2"/>
  <c r="L62" i="2" s="1"/>
  <c r="K55" i="2"/>
  <c r="M55" i="2" s="1"/>
  <c r="K56" i="2"/>
  <c r="L56" i="2" s="1"/>
  <c r="K57" i="2"/>
  <c r="L57" i="2" s="1"/>
  <c r="K54" i="2"/>
  <c r="L54" i="2" s="1"/>
  <c r="K48" i="2"/>
  <c r="L48" i="2" s="1"/>
  <c r="K49" i="2"/>
  <c r="M49" i="2" s="1"/>
  <c r="K50" i="2"/>
  <c r="L50" i="2" s="1"/>
  <c r="K47" i="2"/>
  <c r="L47" i="2" s="1"/>
  <c r="K40" i="2"/>
  <c r="M40" i="2" s="1"/>
  <c r="K41" i="2"/>
  <c r="M41" i="2" s="1"/>
  <c r="K42" i="2"/>
  <c r="L42" i="2" s="1"/>
  <c r="K39" i="2"/>
  <c r="L39" i="2" s="1"/>
  <c r="K34" i="2"/>
  <c r="L34" i="2" s="1"/>
  <c r="K35" i="2"/>
  <c r="M35" i="2" s="1"/>
  <c r="K36" i="2"/>
  <c r="L36" i="2" s="1"/>
  <c r="K33" i="2"/>
  <c r="L33" i="2" s="1"/>
  <c r="K28" i="2"/>
  <c r="M28" i="2" s="1"/>
  <c r="K29" i="2"/>
  <c r="M29" i="2" s="1"/>
  <c r="K30" i="2"/>
  <c r="L30" i="2" s="1"/>
  <c r="K27" i="2"/>
  <c r="L27" i="2" s="1"/>
  <c r="K22" i="2"/>
  <c r="L22" i="2" s="1"/>
  <c r="K23" i="2"/>
  <c r="M23" i="2" s="1"/>
  <c r="K24" i="2"/>
  <c r="L24" i="2" s="1"/>
  <c r="K21" i="2"/>
  <c r="L21" i="2" s="1"/>
  <c r="K14" i="2"/>
  <c r="M14" i="2" s="1"/>
  <c r="K15" i="2"/>
  <c r="M15" i="2" s="1"/>
  <c r="K16" i="2"/>
  <c r="L16" i="2" s="1"/>
  <c r="K13" i="2"/>
  <c r="L13" i="2" s="1"/>
  <c r="K6" i="2"/>
  <c r="L6" i="2" s="1"/>
  <c r="K7" i="2"/>
  <c r="L7" i="2" s="1"/>
  <c r="K8" i="2"/>
  <c r="L8" i="2" s="1"/>
  <c r="K5" i="2"/>
  <c r="L5" i="2" s="1"/>
  <c r="K75" i="2"/>
  <c r="L75" i="2" s="1"/>
  <c r="K74" i="2"/>
  <c r="L74" i="2" s="1"/>
  <c r="K73" i="2"/>
  <c r="L73" i="2" s="1"/>
  <c r="I73" i="2"/>
  <c r="G3" i="3"/>
  <c r="L70" i="2"/>
  <c r="L49" i="2"/>
  <c r="L40" i="2"/>
  <c r="L41" i="2"/>
  <c r="L35" i="2"/>
  <c r="L29" i="2"/>
  <c r="L23" i="2"/>
  <c r="K68" i="2"/>
  <c r="L68" i="2" s="1"/>
  <c r="K67" i="2"/>
  <c r="L67" i="2" s="1"/>
  <c r="K66" i="2"/>
  <c r="L66" i="2" s="1"/>
  <c r="K65" i="2"/>
  <c r="L65" i="2" s="1"/>
  <c r="I68" i="2"/>
  <c r="I67" i="2"/>
  <c r="I66" i="2"/>
  <c r="I65" i="2"/>
  <c r="K61" i="2"/>
  <c r="L61" i="2" s="1"/>
  <c r="K60" i="2"/>
  <c r="L60" i="2" s="1"/>
  <c r="K59" i="2"/>
  <c r="L59" i="2" s="1"/>
  <c r="K58" i="2"/>
  <c r="L58" i="2" s="1"/>
  <c r="I60" i="2"/>
  <c r="I59" i="2"/>
  <c r="I58" i="2"/>
  <c r="K53" i="2"/>
  <c r="L53" i="2" s="1"/>
  <c r="K52" i="2"/>
  <c r="L52" i="2" s="1"/>
  <c r="K51" i="2"/>
  <c r="L51" i="2" s="1"/>
  <c r="I53" i="2"/>
  <c r="I52" i="2"/>
  <c r="I51" i="2"/>
  <c r="K46" i="2"/>
  <c r="L46" i="2" s="1"/>
  <c r="K45" i="2"/>
  <c r="L45" i="2" s="1"/>
  <c r="K44" i="2"/>
  <c r="L44" i="2" s="1"/>
  <c r="K43" i="2"/>
  <c r="L43" i="2" s="1"/>
  <c r="I46" i="2"/>
  <c r="I45" i="2"/>
  <c r="I44" i="2"/>
  <c r="I43" i="2"/>
  <c r="K38" i="2"/>
  <c r="L38" i="2" s="1"/>
  <c r="I38" i="2"/>
  <c r="K37" i="2"/>
  <c r="L37" i="2" s="1"/>
  <c r="I37" i="2"/>
  <c r="K32" i="2"/>
  <c r="L32" i="2" s="1"/>
  <c r="I32" i="2"/>
  <c r="K31" i="2"/>
  <c r="L31" i="2" s="1"/>
  <c r="I31" i="2"/>
  <c r="K26" i="2"/>
  <c r="L26" i="2" s="1"/>
  <c r="I26" i="2"/>
  <c r="K25" i="2"/>
  <c r="L25" i="2" s="1"/>
  <c r="I25" i="2"/>
  <c r="K20" i="2"/>
  <c r="L20" i="2" s="1"/>
  <c r="K19" i="2"/>
  <c r="L19" i="2" s="1"/>
  <c r="K18" i="2"/>
  <c r="L18" i="2" s="1"/>
  <c r="K17" i="2"/>
  <c r="L17" i="2" s="1"/>
  <c r="I20" i="2"/>
  <c r="I19" i="2"/>
  <c r="I18" i="2"/>
  <c r="I17" i="2"/>
  <c r="K12" i="2"/>
  <c r="L12" i="2" s="1"/>
  <c r="K11" i="2"/>
  <c r="L11" i="2" s="1"/>
  <c r="K10" i="2"/>
  <c r="L10" i="2" s="1"/>
  <c r="K9" i="2"/>
  <c r="L9" i="2" s="1"/>
  <c r="I12" i="2"/>
  <c r="I11" i="2"/>
  <c r="I10" i="2"/>
  <c r="I9" i="2"/>
  <c r="K4" i="2"/>
  <c r="L4" i="2" s="1"/>
  <c r="K3" i="2"/>
  <c r="L3" i="2" s="1"/>
  <c r="I4" i="2"/>
  <c r="I3" i="2"/>
  <c r="C55" i="8" l="1"/>
  <c r="E54" i="8"/>
  <c r="C49" i="8"/>
  <c r="E48" i="8"/>
  <c r="H54" i="8"/>
  <c r="M10" i="2"/>
  <c r="M58" i="2"/>
  <c r="M82" i="2"/>
  <c r="M90" i="2"/>
  <c r="O158" i="4"/>
  <c r="O181" i="4"/>
  <c r="O366" i="4"/>
  <c r="O443" i="4"/>
  <c r="O335" i="4"/>
  <c r="O360" i="4"/>
  <c r="O614" i="4"/>
  <c r="O503" i="4"/>
  <c r="O559" i="4"/>
  <c r="M99" i="2"/>
  <c r="L55" i="2"/>
  <c r="M74" i="2"/>
  <c r="O406" i="4"/>
  <c r="O451" i="4"/>
  <c r="O470" i="4"/>
  <c r="O437" i="4"/>
  <c r="O607" i="4"/>
  <c r="O14" i="4"/>
  <c r="L14" i="2"/>
  <c r="M103" i="2"/>
  <c r="M18" i="2"/>
  <c r="M66" i="2"/>
  <c r="M34" i="2"/>
  <c r="F10" i="6"/>
  <c r="O100" i="4"/>
  <c r="O139" i="4"/>
  <c r="O170" i="4"/>
  <c r="O249" i="4"/>
  <c r="O353" i="4"/>
  <c r="O477" i="4"/>
  <c r="O554" i="4"/>
  <c r="O533" i="4"/>
  <c r="M88" i="2"/>
  <c r="M78" i="2"/>
  <c r="M62" i="2"/>
  <c r="M22" i="2"/>
  <c r="M6" i="2"/>
  <c r="G4" i="6"/>
  <c r="C6" i="7" s="1"/>
  <c r="G7" i="6"/>
  <c r="C13" i="7" s="1"/>
  <c r="F7" i="6"/>
  <c r="F4" i="6"/>
  <c r="O322" i="4"/>
  <c r="O391" i="4"/>
  <c r="O378" i="4"/>
  <c r="O340" i="4"/>
  <c r="O543" i="4"/>
  <c r="O538" i="4"/>
  <c r="O570" i="4"/>
  <c r="O565" i="4"/>
  <c r="O591" i="4"/>
  <c r="O50" i="4"/>
  <c r="O385" i="4"/>
  <c r="O347" i="4"/>
  <c r="O485" i="4"/>
  <c r="O574" i="4"/>
  <c r="O550" i="4"/>
  <c r="O598" i="4"/>
  <c r="L15" i="2"/>
  <c r="L28" i="2"/>
  <c r="M95" i="2"/>
  <c r="L81" i="2"/>
  <c r="M102" i="2"/>
  <c r="M86" i="2"/>
  <c r="M54" i="2"/>
  <c r="O426" i="4"/>
  <c r="O526" i="4"/>
  <c r="O399" i="4"/>
  <c r="O415" i="4"/>
  <c r="O507" i="4"/>
  <c r="O330" i="4"/>
  <c r="O372" i="4"/>
  <c r="O460" i="4"/>
  <c r="O515" i="4"/>
  <c r="O494" i="4"/>
  <c r="O520" i="4"/>
  <c r="O584" i="4"/>
  <c r="O29" i="4"/>
  <c r="O71" i="4"/>
  <c r="O122" i="4"/>
  <c r="O130" i="4"/>
  <c r="O5" i="4"/>
  <c r="O154" i="4"/>
  <c r="O145" i="4"/>
  <c r="O268" i="4"/>
  <c r="O277" i="4"/>
  <c r="O288" i="4"/>
  <c r="O315" i="4"/>
  <c r="O64" i="4"/>
  <c r="O85" i="4"/>
  <c r="O215" i="4"/>
  <c r="O37" i="4"/>
  <c r="O58" i="4"/>
  <c r="O43" i="4"/>
  <c r="O92" i="4"/>
  <c r="O233" i="4"/>
  <c r="O190" i="4"/>
  <c r="O207" i="4"/>
  <c r="O302" i="4"/>
  <c r="O199" i="4"/>
  <c r="O281" i="4"/>
  <c r="O20" i="4"/>
  <c r="O79" i="4"/>
  <c r="O104" i="4"/>
  <c r="O117" i="4"/>
  <c r="O110" i="4"/>
  <c r="O165" i="4"/>
  <c r="O161" i="4"/>
  <c r="O225" i="4"/>
  <c r="O241" i="4"/>
  <c r="O259" i="4"/>
  <c r="O294" i="4"/>
  <c r="M94" i="2"/>
  <c r="N94" i="2" s="1"/>
  <c r="M46" i="2"/>
  <c r="M38" i="2"/>
  <c r="M30" i="2"/>
  <c r="L83" i="2"/>
  <c r="M101" i="2"/>
  <c r="M97" i="2"/>
  <c r="M89" i="2"/>
  <c r="M85" i="2"/>
  <c r="M77" i="2"/>
  <c r="M73" i="2"/>
  <c r="M69" i="2"/>
  <c r="M65" i="2"/>
  <c r="M61" i="2"/>
  <c r="M57" i="2"/>
  <c r="M53" i="2"/>
  <c r="M45" i="2"/>
  <c r="M37" i="2"/>
  <c r="M33" i="2"/>
  <c r="M25" i="2"/>
  <c r="M21" i="2"/>
  <c r="M17" i="2"/>
  <c r="M13" i="2"/>
  <c r="M9" i="2"/>
  <c r="M5" i="2"/>
  <c r="L96" i="2"/>
  <c r="M50" i="2"/>
  <c r="M42" i="2"/>
  <c r="M26" i="2"/>
  <c r="L88" i="2"/>
  <c r="M100" i="2"/>
  <c r="N98" i="2" s="1"/>
  <c r="M92" i="2"/>
  <c r="M84" i="2"/>
  <c r="N82" i="2" s="1"/>
  <c r="M80" i="2"/>
  <c r="M76" i="2"/>
  <c r="M72" i="2"/>
  <c r="M68" i="2"/>
  <c r="M64" i="2"/>
  <c r="M60" i="2"/>
  <c r="M56" i="2"/>
  <c r="M52" i="2"/>
  <c r="M48" i="2"/>
  <c r="M44" i="2"/>
  <c r="M36" i="2"/>
  <c r="M32" i="2"/>
  <c r="M24" i="2"/>
  <c r="M20" i="2"/>
  <c r="M16" i="2"/>
  <c r="M12" i="2"/>
  <c r="M8" i="2"/>
  <c r="M4" i="2"/>
  <c r="M91" i="2"/>
  <c r="N91" i="2" s="1"/>
  <c r="M87" i="2"/>
  <c r="M79" i="2"/>
  <c r="N79" i="2" s="1"/>
  <c r="M75" i="2"/>
  <c r="M71" i="2"/>
  <c r="M67" i="2"/>
  <c r="M63" i="2"/>
  <c r="M59" i="2"/>
  <c r="M51" i="2"/>
  <c r="M47" i="2"/>
  <c r="M43" i="2"/>
  <c r="M39" i="2"/>
  <c r="M31" i="2"/>
  <c r="M27" i="2"/>
  <c r="M19" i="2"/>
  <c r="M11" i="2"/>
  <c r="M7" i="2"/>
  <c r="M3" i="2"/>
  <c r="G5" i="3"/>
  <c r="G13" i="3"/>
  <c r="F11" i="3"/>
  <c r="G11" i="3" s="1"/>
  <c r="F12" i="3"/>
  <c r="G12" i="3" s="1"/>
  <c r="F13" i="3"/>
  <c r="F14" i="3"/>
  <c r="G14" i="3" s="1"/>
  <c r="F15" i="3"/>
  <c r="G15" i="3" s="1"/>
  <c r="F18" i="3" s="1"/>
  <c r="F10" i="3"/>
  <c r="G10" i="3" s="1"/>
  <c r="E18" i="3" s="1"/>
  <c r="F4" i="3"/>
  <c r="G4" i="3" s="1"/>
  <c r="F5" i="3"/>
  <c r="F6" i="3"/>
  <c r="G6" i="3" s="1"/>
  <c r="F8" i="3"/>
  <c r="G8" i="3" s="1"/>
  <c r="F3" i="3"/>
  <c r="G18" i="3" s="1"/>
  <c r="E9" i="3"/>
  <c r="F9" i="3" s="1"/>
  <c r="G9" i="3" s="1"/>
  <c r="E7" i="3"/>
  <c r="F7" i="3" s="1"/>
  <c r="G7" i="3" s="1"/>
  <c r="C18" i="3" s="1"/>
  <c r="E15" i="3"/>
  <c r="E49" i="8" l="1"/>
  <c r="C50" i="8"/>
  <c r="C56" i="8"/>
  <c r="E55" i="8"/>
  <c r="H55" i="8"/>
  <c r="C12" i="7"/>
  <c r="C14" i="7"/>
  <c r="C22" i="7"/>
  <c r="C24" i="7"/>
  <c r="C5" i="7"/>
  <c r="C7" i="7"/>
  <c r="N43" i="2"/>
  <c r="N37" i="2"/>
  <c r="N101" i="2"/>
  <c r="N88" i="2"/>
  <c r="N58" i="2"/>
  <c r="N17" i="2"/>
  <c r="N3" i="2"/>
  <c r="N65" i="2"/>
  <c r="N85" i="2"/>
  <c r="N51" i="2"/>
  <c r="N9" i="2"/>
  <c r="N25" i="2"/>
  <c r="E8" i="6"/>
  <c r="I11" i="7" s="1"/>
  <c r="E5" i="6"/>
  <c r="I4" i="7" s="1"/>
  <c r="N31" i="2"/>
  <c r="N76" i="2"/>
  <c r="N73" i="2"/>
  <c r="D18" i="3"/>
  <c r="B18" i="3"/>
  <c r="E32" i="1"/>
  <c r="C57" i="8" l="1"/>
  <c r="E56" i="8"/>
  <c r="E50" i="8"/>
  <c r="C58" i="8"/>
  <c r="H56" i="8"/>
  <c r="E4" i="6"/>
  <c r="C4" i="7" s="1"/>
  <c r="E7" i="6"/>
  <c r="C11" i="7" s="1"/>
  <c r="D32" i="1"/>
  <c r="F32" i="1" s="1"/>
  <c r="C27" i="1"/>
  <c r="C7" i="1"/>
  <c r="C6" i="1"/>
  <c r="C5" i="1"/>
  <c r="E57" i="8" l="1"/>
  <c r="E58" i="8"/>
  <c r="C65" i="8" s="1"/>
  <c r="C59" i="8"/>
  <c r="H57" i="8"/>
  <c r="B16" i="1"/>
  <c r="B22" i="1" s="1"/>
  <c r="D20" i="1"/>
  <c r="B21" i="1" s="1"/>
  <c r="D15" i="1"/>
  <c r="C60" i="8" l="1"/>
  <c r="E59" i="8"/>
  <c r="E65" i="8"/>
  <c r="C66" i="8"/>
  <c r="H58" i="8"/>
  <c r="E6" i="1"/>
  <c r="E5" i="1"/>
  <c r="E4" i="1"/>
  <c r="C67" i="8" l="1"/>
  <c r="E66" i="8"/>
  <c r="E60" i="8"/>
  <c r="C61" i="8"/>
  <c r="H59" i="8"/>
  <c r="E7" i="1"/>
  <c r="D27" i="1" s="1"/>
  <c r="E61" i="8" l="1"/>
  <c r="C62" i="8"/>
  <c r="E67" i="8"/>
  <c r="C68" i="8"/>
  <c r="H60" i="8"/>
  <c r="E27" i="1"/>
  <c r="C63" i="8" l="1"/>
  <c r="E62" i="8"/>
  <c r="E68" i="8"/>
  <c r="C69" i="8"/>
  <c r="H61" i="8"/>
  <c r="E69" i="8" l="1"/>
  <c r="C70" i="8"/>
  <c r="C64" i="8"/>
  <c r="E63" i="8"/>
  <c r="H62" i="8"/>
  <c r="C71" i="8" l="1"/>
  <c r="E70" i="8"/>
  <c r="C72" i="8"/>
  <c r="E64" i="8"/>
  <c r="H63" i="8"/>
  <c r="C73" i="8" l="1"/>
  <c r="E72" i="8"/>
  <c r="C79" i="8" s="1"/>
  <c r="E71" i="8"/>
  <c r="H64" i="8"/>
  <c r="E79" i="8" l="1"/>
  <c r="C80" i="8"/>
  <c r="C74" i="8"/>
  <c r="E73" i="8"/>
  <c r="H65" i="8"/>
  <c r="E74" i="8" l="1"/>
  <c r="C75" i="8"/>
  <c r="C81" i="8"/>
  <c r="E80" i="8"/>
  <c r="H66" i="8"/>
  <c r="E75" i="8" l="1"/>
  <c r="C76" i="8"/>
  <c r="C82" i="8"/>
  <c r="E81" i="8"/>
  <c r="H67" i="8"/>
  <c r="E82" i="8" l="1"/>
  <c r="C83" i="8"/>
  <c r="E76" i="8"/>
  <c r="C77" i="8"/>
  <c r="H68" i="8"/>
  <c r="E77" i="8" l="1"/>
  <c r="C78" i="8"/>
  <c r="C84" i="8"/>
  <c r="E83" i="8"/>
  <c r="H69" i="8"/>
  <c r="E84" i="8" l="1"/>
  <c r="C85" i="8"/>
  <c r="E78" i="8"/>
  <c r="C86" i="8"/>
  <c r="H70" i="8"/>
  <c r="E85" i="8" l="1"/>
  <c r="C87" i="8"/>
  <c r="E86" i="8"/>
  <c r="C93" i="8" s="1"/>
  <c r="H71" i="8"/>
  <c r="C88" i="8" l="1"/>
  <c r="E87" i="8"/>
  <c r="E93" i="8"/>
  <c r="C94" i="8"/>
  <c r="H72" i="8"/>
  <c r="C95" i="8" l="1"/>
  <c r="E94" i="8"/>
  <c r="C89" i="8"/>
  <c r="E88" i="8"/>
  <c r="H73" i="8"/>
  <c r="C90" i="8" l="1"/>
  <c r="E89" i="8"/>
  <c r="C96" i="8"/>
  <c r="E95" i="8"/>
  <c r="H74" i="8"/>
  <c r="E96" i="8" l="1"/>
  <c r="C97" i="8"/>
  <c r="C91" i="8"/>
  <c r="E90" i="8"/>
  <c r="H75" i="8"/>
  <c r="E97" i="8" l="1"/>
  <c r="C98" i="8"/>
  <c r="C92" i="8"/>
  <c r="E91" i="8"/>
  <c r="H76" i="8"/>
  <c r="C99" i="8" l="1"/>
  <c r="E98" i="8"/>
  <c r="E92" i="8"/>
  <c r="H77" i="8"/>
  <c r="I36" i="8" l="1"/>
  <c r="I31" i="8"/>
  <c r="I29" i="8"/>
  <c r="I34" i="8"/>
  <c r="I41" i="8"/>
  <c r="I40" i="8"/>
  <c r="I32" i="8"/>
  <c r="I39" i="8"/>
  <c r="I33" i="8"/>
  <c r="I42" i="8"/>
  <c r="I38" i="8"/>
  <c r="I30" i="8"/>
  <c r="I37" i="8"/>
  <c r="I35" i="8"/>
  <c r="I43" i="8"/>
  <c r="I44" i="8"/>
  <c r="E99" i="8"/>
  <c r="H78" i="8"/>
  <c r="I46" i="8" l="1"/>
  <c r="I62" i="8"/>
  <c r="I53" i="8"/>
  <c r="I75" i="8"/>
  <c r="I47" i="8"/>
  <c r="I81" i="8"/>
  <c r="I70" i="8"/>
  <c r="I69" i="8"/>
  <c r="I64" i="8"/>
  <c r="I67" i="8"/>
  <c r="I80" i="8"/>
  <c r="I66" i="8"/>
  <c r="I79" i="8"/>
  <c r="I65" i="8"/>
  <c r="I100" i="8"/>
  <c r="I99" i="8"/>
  <c r="I98" i="8"/>
  <c r="I83" i="8"/>
  <c r="I71" i="8"/>
  <c r="I63" i="8"/>
  <c r="I54" i="8"/>
  <c r="I84" i="8"/>
  <c r="I94" i="8"/>
  <c r="I74" i="8"/>
  <c r="I61" i="8"/>
  <c r="I90" i="8"/>
  <c r="I95" i="8"/>
  <c r="I49" i="8"/>
  <c r="I92" i="8"/>
  <c r="I50" i="8"/>
  <c r="I85" i="8"/>
  <c r="I101" i="8"/>
  <c r="I77" i="8"/>
  <c r="I87" i="8"/>
  <c r="I45" i="8"/>
  <c r="I78" i="8"/>
  <c r="I57" i="8"/>
  <c r="I72" i="8"/>
  <c r="I73" i="8"/>
  <c r="I86" i="8"/>
  <c r="I60" i="8"/>
  <c r="I58" i="8"/>
  <c r="I56" i="8"/>
  <c r="I76" i="8"/>
  <c r="I52" i="8"/>
  <c r="I93" i="8"/>
  <c r="I48" i="8"/>
  <c r="I55" i="8"/>
  <c r="I88" i="8"/>
  <c r="I51" i="8"/>
  <c r="I68" i="8"/>
  <c r="I59" i="8"/>
  <c r="I96" i="8"/>
  <c r="I97" i="8"/>
  <c r="I89" i="8"/>
  <c r="I82" i="8"/>
  <c r="I91" i="8"/>
  <c r="C28" i="8"/>
  <c r="D28" i="8" s="1"/>
  <c r="H79" i="8"/>
  <c r="H80" i="8" l="1"/>
  <c r="H81" i="8" l="1"/>
  <c r="H82" i="8" l="1"/>
  <c r="H83" i="8" l="1"/>
  <c r="H84" i="8" l="1"/>
  <c r="H85" i="8" l="1"/>
  <c r="H86" i="8" l="1"/>
  <c r="H87" i="8" l="1"/>
  <c r="H88" i="8" l="1"/>
  <c r="H89" i="8" l="1"/>
  <c r="H90" i="8" l="1"/>
  <c r="H91" i="8" l="1"/>
  <c r="H92" i="8" l="1"/>
  <c r="H93" i="8" l="1"/>
  <c r="H94" i="8" l="1"/>
  <c r="H95" i="8" l="1"/>
  <c r="H96" i="8" l="1"/>
  <c r="H97" i="8" l="1"/>
  <c r="H98" i="8" l="1"/>
  <c r="H99" i="8" l="1"/>
  <c r="H101" i="8" l="1"/>
</calcChain>
</file>

<file path=xl/comments1.xml><?xml version="1.0" encoding="utf-8"?>
<comments xmlns="http://schemas.openxmlformats.org/spreadsheetml/2006/main">
  <authors>
    <author>(0~0)</author>
  </authors>
  <commentList>
    <comment ref="A31" authorId="0" shapeId="0">
      <text>
        <r>
          <rPr>
            <b/>
            <sz val="9"/>
            <color indexed="81"/>
            <rFont val="宋体"/>
            <family val="3"/>
            <charset val="134"/>
          </rPr>
          <t>(0~0):
一般一小时能挖300~360方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C31" authorId="0" shapeId="0">
      <text>
        <r>
          <rPr>
            <b/>
            <sz val="9"/>
            <color indexed="81"/>
            <rFont val="宋体"/>
            <family val="3"/>
            <charset val="134"/>
          </rPr>
          <t>(0~0):
土的密度一般为2.6
砂的密度一般为1.6</t>
        </r>
      </text>
    </comment>
  </commentList>
</comments>
</file>

<file path=xl/comments2.xml><?xml version="1.0" encoding="utf-8"?>
<comments xmlns="http://schemas.openxmlformats.org/spreadsheetml/2006/main">
  <authors>
    <author>(0~0)</author>
  </authors>
  <commentList>
    <comment ref="C3" authorId="0" shapeId="0">
      <text>
        <r>
          <rPr>
            <b/>
            <sz val="9"/>
            <color indexed="81"/>
            <rFont val="宋体"/>
            <family val="3"/>
            <charset val="134"/>
          </rPr>
          <t>(0~0):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<sst xmlns="http://schemas.openxmlformats.org/spreadsheetml/2006/main" count="1253" uniqueCount="326">
  <si>
    <t>建筑长度</t>
    <phoneticPr fontId="1" type="noConversion"/>
  </si>
  <si>
    <t>建筑宽度</t>
    <phoneticPr fontId="1" type="noConversion"/>
  </si>
  <si>
    <t>一类土</t>
  </si>
  <si>
    <t>混凝土</t>
  </si>
  <si>
    <t>基坑深度</t>
    <phoneticPr fontId="1" type="noConversion"/>
  </si>
  <si>
    <t>边坡坡度</t>
    <phoneticPr fontId="1" type="noConversion"/>
  </si>
  <si>
    <t>V</t>
    <phoneticPr fontId="1" type="noConversion"/>
  </si>
  <si>
    <t>边坡保护系数</t>
    <phoneticPr fontId="1" type="noConversion"/>
  </si>
  <si>
    <t>排水沟宽度</t>
    <phoneticPr fontId="1" type="noConversion"/>
  </si>
  <si>
    <t>工作面宽度</t>
    <phoneticPr fontId="1" type="noConversion"/>
  </si>
  <si>
    <t>基坑挖方量</t>
    <phoneticPr fontId="1" type="noConversion"/>
  </si>
  <si>
    <t>独立基础体积</t>
    <phoneticPr fontId="1" type="noConversion"/>
  </si>
  <si>
    <t>DJ-1</t>
    <phoneticPr fontId="1" type="noConversion"/>
  </si>
  <si>
    <t>长</t>
    <phoneticPr fontId="1" type="noConversion"/>
  </si>
  <si>
    <t>宽</t>
    <phoneticPr fontId="1" type="noConversion"/>
  </si>
  <si>
    <t>高</t>
    <phoneticPr fontId="1" type="noConversion"/>
  </si>
  <si>
    <t>基础类型</t>
    <phoneticPr fontId="1" type="noConversion"/>
  </si>
  <si>
    <t>DJ-2</t>
    <phoneticPr fontId="1" type="noConversion"/>
  </si>
  <si>
    <t>个数</t>
    <phoneticPr fontId="1" type="noConversion"/>
  </si>
  <si>
    <t>基础总体积</t>
    <phoneticPr fontId="1" type="noConversion"/>
  </si>
  <si>
    <t>基础填方量</t>
    <phoneticPr fontId="1" type="noConversion"/>
  </si>
  <si>
    <t>堆方量</t>
    <phoneticPr fontId="1" type="noConversion"/>
  </si>
  <si>
    <t>填方量</t>
    <phoneticPr fontId="1" type="noConversion"/>
  </si>
  <si>
    <r>
      <t>A</t>
    </r>
    <r>
      <rPr>
        <b/>
        <vertAlign val="subscript"/>
        <sz val="11"/>
        <color theme="1"/>
        <rFont val="宋体"/>
        <family val="3"/>
        <charset val="134"/>
        <scheme val="minor"/>
      </rPr>
      <t>下</t>
    </r>
    <phoneticPr fontId="1" type="noConversion"/>
  </si>
  <si>
    <r>
      <t>A</t>
    </r>
    <r>
      <rPr>
        <b/>
        <vertAlign val="subscript"/>
        <sz val="11"/>
        <color theme="1"/>
        <rFont val="宋体"/>
        <family val="3"/>
        <charset val="134"/>
        <scheme val="minor"/>
      </rPr>
      <t>中</t>
    </r>
    <phoneticPr fontId="1" type="noConversion"/>
  </si>
  <si>
    <r>
      <t>A</t>
    </r>
    <r>
      <rPr>
        <b/>
        <vertAlign val="subscript"/>
        <sz val="11"/>
        <color theme="1"/>
        <rFont val="宋体"/>
        <family val="3"/>
        <charset val="134"/>
        <scheme val="minor"/>
      </rPr>
      <t>上</t>
    </r>
    <phoneticPr fontId="1" type="noConversion"/>
  </si>
  <si>
    <r>
      <t>K</t>
    </r>
    <r>
      <rPr>
        <b/>
        <vertAlign val="subscript"/>
        <sz val="11"/>
        <color theme="1"/>
        <rFont val="宋体"/>
        <family val="3"/>
        <charset val="134"/>
        <scheme val="minor"/>
      </rPr>
      <t>s</t>
    </r>
    <phoneticPr fontId="1" type="noConversion"/>
  </si>
  <si>
    <r>
      <t>K</t>
    </r>
    <r>
      <rPr>
        <b/>
        <vertAlign val="subscript"/>
        <sz val="11"/>
        <color theme="1"/>
        <rFont val="宋体"/>
        <family val="3"/>
        <charset val="134"/>
        <scheme val="minor"/>
      </rPr>
      <t>s</t>
    </r>
    <r>
      <rPr>
        <b/>
        <vertAlign val="superscript"/>
        <sz val="11"/>
        <color theme="1"/>
        <rFont val="宋体"/>
        <family val="3"/>
        <charset val="134"/>
        <scheme val="minor"/>
      </rPr>
      <t>、</t>
    </r>
    <phoneticPr fontId="1" type="noConversion"/>
  </si>
  <si>
    <t>运方量</t>
    <phoneticPr fontId="1" type="noConversion"/>
  </si>
  <si>
    <t>二类</t>
  </si>
  <si>
    <t>自卸车吨位</t>
    <phoneticPr fontId="1" type="noConversion"/>
  </si>
  <si>
    <t>土密度</t>
    <phoneticPr fontId="1" type="noConversion"/>
  </si>
  <si>
    <t>班次</t>
    <phoneticPr fontId="1" type="noConversion"/>
  </si>
  <si>
    <t>工期</t>
    <phoneticPr fontId="1" type="noConversion"/>
  </si>
  <si>
    <t>挖方工期计算</t>
    <phoneticPr fontId="1" type="noConversion"/>
  </si>
  <si>
    <t>挖掘机挖方量</t>
    <phoneticPr fontId="1" type="noConversion"/>
  </si>
  <si>
    <t>间歇时间</t>
    <phoneticPr fontId="1" type="noConversion"/>
  </si>
  <si>
    <t>直径</t>
    <phoneticPr fontId="1" type="noConversion"/>
  </si>
  <si>
    <t>根数</t>
    <phoneticPr fontId="1" type="noConversion"/>
  </si>
  <si>
    <t>钢筋类型</t>
    <phoneticPr fontId="1" type="noConversion"/>
  </si>
  <si>
    <t>基础类型</t>
    <phoneticPr fontId="1" type="noConversion"/>
  </si>
  <si>
    <t>DJ-1</t>
    <phoneticPr fontId="1" type="noConversion"/>
  </si>
  <si>
    <t>DJ-2</t>
    <phoneticPr fontId="1" type="noConversion"/>
  </si>
  <si>
    <t>合计根数</t>
    <phoneticPr fontId="1" type="noConversion"/>
  </si>
  <si>
    <t>下料长度(mm)</t>
    <phoneticPr fontId="1" type="noConversion"/>
  </si>
  <si>
    <t>质量(Kg)</t>
    <phoneticPr fontId="1" type="noConversion"/>
  </si>
  <si>
    <t>合计</t>
    <phoneticPr fontId="1" type="noConversion"/>
  </si>
  <si>
    <t>基础钢筋配料单</t>
    <phoneticPr fontId="1" type="noConversion"/>
  </si>
  <si>
    <t>层数</t>
    <phoneticPr fontId="1" type="noConversion"/>
  </si>
  <si>
    <t>KZ-1</t>
    <phoneticPr fontId="1" type="noConversion"/>
  </si>
  <si>
    <t>柱长</t>
    <phoneticPr fontId="1" type="noConversion"/>
  </si>
  <si>
    <t>柱宽</t>
    <phoneticPr fontId="1" type="noConversion"/>
  </si>
  <si>
    <t>柱高</t>
    <phoneticPr fontId="1" type="noConversion"/>
  </si>
  <si>
    <t>KZ-2</t>
    <phoneticPr fontId="1" type="noConversion"/>
  </si>
  <si>
    <t>KZ-3</t>
    <phoneticPr fontId="1" type="noConversion"/>
  </si>
  <si>
    <t>KZ-4</t>
    <phoneticPr fontId="1" type="noConversion"/>
  </si>
  <si>
    <t>KZ-5</t>
    <phoneticPr fontId="1" type="noConversion"/>
  </si>
  <si>
    <t>KZ-6</t>
    <phoneticPr fontId="1" type="noConversion"/>
  </si>
  <si>
    <t>KZ-7</t>
    <phoneticPr fontId="1" type="noConversion"/>
  </si>
  <si>
    <t>KZ-8</t>
    <phoneticPr fontId="1" type="noConversion"/>
  </si>
  <si>
    <t>KZ-9</t>
    <phoneticPr fontId="1" type="noConversion"/>
  </si>
  <si>
    <t>KZ-10</t>
    <phoneticPr fontId="1" type="noConversion"/>
  </si>
  <si>
    <t>个数</t>
    <phoneticPr fontId="1" type="noConversion"/>
  </si>
  <si>
    <t>单柱根数</t>
    <phoneticPr fontId="1" type="noConversion"/>
  </si>
  <si>
    <t>合计根数</t>
    <phoneticPr fontId="1" type="noConversion"/>
  </si>
  <si>
    <t>一层</t>
    <phoneticPr fontId="1" type="noConversion"/>
  </si>
  <si>
    <t>二~五层</t>
    <phoneticPr fontId="1" type="noConversion"/>
  </si>
  <si>
    <t>KZ-1</t>
    <phoneticPr fontId="1" type="noConversion"/>
  </si>
  <si>
    <t>半径(mm)</t>
    <phoneticPr fontId="1" type="noConversion"/>
  </si>
  <si>
    <t>KZ-2</t>
    <phoneticPr fontId="1" type="noConversion"/>
  </si>
  <si>
    <t>KZ-3</t>
    <phoneticPr fontId="1" type="noConversion"/>
  </si>
  <si>
    <t>KZ-4</t>
    <phoneticPr fontId="1" type="noConversion"/>
  </si>
  <si>
    <t>KZ-5</t>
    <phoneticPr fontId="1" type="noConversion"/>
  </si>
  <si>
    <t>KZ-6</t>
    <phoneticPr fontId="1" type="noConversion"/>
  </si>
  <si>
    <t>KZ-7</t>
    <phoneticPr fontId="1" type="noConversion"/>
  </si>
  <si>
    <t>KZ-8</t>
    <phoneticPr fontId="1" type="noConversion"/>
  </si>
  <si>
    <t>KZ-9</t>
    <phoneticPr fontId="1" type="noConversion"/>
  </si>
  <si>
    <t>KZ-10</t>
    <phoneticPr fontId="1" type="noConversion"/>
  </si>
  <si>
    <t>质量(Kg)</t>
    <phoneticPr fontId="1" type="noConversion"/>
  </si>
  <si>
    <t>单柱质量(Kg)</t>
    <phoneticPr fontId="1" type="noConversion"/>
  </si>
  <si>
    <r>
      <t>单柱体积(m</t>
    </r>
    <r>
      <rPr>
        <b/>
        <vertAlign val="superscript"/>
        <sz val="11"/>
        <color theme="1"/>
        <rFont val="宋体"/>
        <family val="3"/>
        <charset val="134"/>
        <scheme val="minor"/>
      </rPr>
      <t>3</t>
    </r>
    <r>
      <rPr>
        <b/>
        <sz val="11"/>
        <color theme="1"/>
        <rFont val="宋体"/>
        <family val="3"/>
        <charset val="134"/>
        <scheme val="minor"/>
      </rPr>
      <t>)</t>
    </r>
    <phoneticPr fontId="1" type="noConversion"/>
  </si>
  <si>
    <r>
      <t>单柱表面积(m</t>
    </r>
    <r>
      <rPr>
        <b/>
        <vertAlign val="superscript"/>
        <sz val="11"/>
        <color theme="1"/>
        <rFont val="宋体"/>
        <family val="3"/>
        <charset val="134"/>
        <scheme val="minor"/>
      </rPr>
      <t>3</t>
    </r>
    <r>
      <rPr>
        <b/>
        <sz val="11"/>
        <color theme="1"/>
        <rFont val="宋体"/>
        <family val="3"/>
        <charset val="134"/>
        <scheme val="minor"/>
      </rPr>
      <t>)</t>
    </r>
    <phoneticPr fontId="1" type="noConversion"/>
  </si>
  <si>
    <t>柱类型</t>
    <phoneticPr fontId="1" type="noConversion"/>
  </si>
  <si>
    <t>柱工程量计算</t>
    <phoneticPr fontId="1" type="noConversion"/>
  </si>
  <si>
    <t>KL1</t>
    <phoneticPr fontId="1" type="noConversion"/>
  </si>
  <si>
    <t>梁类型</t>
    <phoneticPr fontId="1" type="noConversion"/>
  </si>
  <si>
    <t>梁宽</t>
    <phoneticPr fontId="1" type="noConversion"/>
  </si>
  <si>
    <t xml:space="preserve">梁高 </t>
    <phoneticPr fontId="1" type="noConversion"/>
  </si>
  <si>
    <t>梁净跨长</t>
    <phoneticPr fontId="1" type="noConversion"/>
  </si>
  <si>
    <t>根数</t>
    <phoneticPr fontId="1" type="noConversion"/>
  </si>
  <si>
    <t>直径</t>
    <phoneticPr fontId="1" type="noConversion"/>
  </si>
  <si>
    <t>抗震等级</t>
    <phoneticPr fontId="1" type="noConversion"/>
  </si>
  <si>
    <t>三级</t>
  </si>
  <si>
    <t>锚固长度</t>
    <phoneticPr fontId="1" type="noConversion"/>
  </si>
  <si>
    <t>c</t>
    <phoneticPr fontId="1" type="noConversion"/>
  </si>
  <si>
    <t>左支座负筋1排</t>
    <phoneticPr fontId="1" type="noConversion"/>
  </si>
  <si>
    <t>长度</t>
    <phoneticPr fontId="1" type="noConversion"/>
  </si>
  <si>
    <t>左支座负筋2排</t>
    <phoneticPr fontId="1" type="noConversion"/>
  </si>
  <si>
    <t>右支座负筋1排</t>
    <phoneticPr fontId="1" type="noConversion"/>
  </si>
  <si>
    <t>右支座负筋2排</t>
    <phoneticPr fontId="1" type="noConversion"/>
  </si>
  <si>
    <t>腰筋</t>
    <phoneticPr fontId="1" type="noConversion"/>
  </si>
  <si>
    <t>下部通长筋</t>
    <phoneticPr fontId="1" type="noConversion"/>
  </si>
  <si>
    <t>跨数</t>
    <phoneticPr fontId="1" type="noConversion"/>
  </si>
  <si>
    <t>上部贯通长筋</t>
    <phoneticPr fontId="1" type="noConversion"/>
  </si>
  <si>
    <t>下部非贯通长筋</t>
    <phoneticPr fontId="1" type="noConversion"/>
  </si>
  <si>
    <t>架立钢筋</t>
    <phoneticPr fontId="1" type="noConversion"/>
  </si>
  <si>
    <t>总净宽长</t>
    <phoneticPr fontId="1" type="noConversion"/>
  </si>
  <si>
    <t>拉筋</t>
    <phoneticPr fontId="1" type="noConversion"/>
  </si>
  <si>
    <t>箍筋</t>
    <phoneticPr fontId="1" type="noConversion"/>
  </si>
  <si>
    <t>架立钢筋</t>
    <phoneticPr fontId="1" type="noConversion"/>
  </si>
  <si>
    <t>左支座负筋1排中部</t>
    <phoneticPr fontId="1" type="noConversion"/>
  </si>
  <si>
    <t>左支座负筋1排角部</t>
    <phoneticPr fontId="1" type="noConversion"/>
  </si>
  <si>
    <t>左支座负筋1排</t>
    <phoneticPr fontId="1" type="noConversion"/>
  </si>
  <si>
    <t>右支座负筋1排中部</t>
    <phoneticPr fontId="1" type="noConversion"/>
  </si>
  <si>
    <t>下部通长筋</t>
    <phoneticPr fontId="1" type="noConversion"/>
  </si>
  <si>
    <t>下部通长筋中部</t>
    <phoneticPr fontId="1" type="noConversion"/>
  </si>
  <si>
    <t>下部通长筋角部</t>
    <phoneticPr fontId="1" type="noConversion"/>
  </si>
  <si>
    <t>右支座负筋1排</t>
    <phoneticPr fontId="1" type="noConversion"/>
  </si>
  <si>
    <t>右支座负筋2排</t>
    <phoneticPr fontId="1" type="noConversion"/>
  </si>
  <si>
    <t>KL2</t>
    <phoneticPr fontId="1" type="noConversion"/>
  </si>
  <si>
    <t>下部非贯通长筋中部</t>
    <phoneticPr fontId="1" type="noConversion"/>
  </si>
  <si>
    <t>下部非贯通长筋角部</t>
    <phoneticPr fontId="1" type="noConversion"/>
  </si>
  <si>
    <t>左支座负筋2排</t>
    <phoneticPr fontId="1" type="noConversion"/>
  </si>
  <si>
    <t>KL3</t>
    <phoneticPr fontId="1" type="noConversion"/>
  </si>
  <si>
    <t>KL4</t>
    <phoneticPr fontId="1" type="noConversion"/>
  </si>
  <si>
    <t>KL5</t>
    <phoneticPr fontId="1" type="noConversion"/>
  </si>
  <si>
    <r>
      <rPr>
        <b/>
        <sz val="12"/>
        <color theme="1"/>
        <rFont val="宋体"/>
        <family val="3"/>
        <charset val="134"/>
      </rPr>
      <t>ξ</t>
    </r>
    <r>
      <rPr>
        <b/>
        <vertAlign val="subscript"/>
        <sz val="12"/>
        <color theme="1"/>
        <rFont val="宋体"/>
        <family val="3"/>
        <charset val="134"/>
        <scheme val="minor"/>
      </rPr>
      <t>aE</t>
    </r>
    <phoneticPr fontId="1" type="noConversion"/>
  </si>
  <si>
    <t>KL6</t>
    <phoneticPr fontId="1" type="noConversion"/>
  </si>
  <si>
    <t>KL7</t>
    <phoneticPr fontId="1" type="noConversion"/>
  </si>
  <si>
    <t>上部非贯通长筋</t>
    <phoneticPr fontId="1" type="noConversion"/>
  </si>
  <si>
    <t>下部非贯通长筋</t>
    <phoneticPr fontId="1" type="noConversion"/>
  </si>
  <si>
    <t>KL8</t>
    <phoneticPr fontId="1" type="noConversion"/>
  </si>
  <si>
    <t>附加箍筋</t>
    <phoneticPr fontId="1" type="noConversion"/>
  </si>
  <si>
    <t>KL9</t>
    <phoneticPr fontId="1" type="noConversion"/>
  </si>
  <si>
    <t>KL10</t>
    <phoneticPr fontId="1" type="noConversion"/>
  </si>
  <si>
    <t>KL11</t>
    <phoneticPr fontId="1" type="noConversion"/>
  </si>
  <si>
    <t>L1</t>
    <phoneticPr fontId="1" type="noConversion"/>
  </si>
  <si>
    <t>L2</t>
    <phoneticPr fontId="1" type="noConversion"/>
  </si>
  <si>
    <t>L3</t>
    <phoneticPr fontId="1" type="noConversion"/>
  </si>
  <si>
    <t>L4</t>
    <phoneticPr fontId="1" type="noConversion"/>
  </si>
  <si>
    <t>L5</t>
    <phoneticPr fontId="1" type="noConversion"/>
  </si>
  <si>
    <t>层数</t>
    <phoneticPr fontId="1" type="noConversion"/>
  </si>
  <si>
    <t>一层</t>
    <phoneticPr fontId="1" type="noConversion"/>
  </si>
  <si>
    <t>二~五层</t>
    <phoneticPr fontId="1" type="noConversion"/>
  </si>
  <si>
    <t>右支座负筋2排角部</t>
    <phoneticPr fontId="1" type="noConversion"/>
  </si>
  <si>
    <t>右支座负筋2排中部</t>
    <phoneticPr fontId="1" type="noConversion"/>
  </si>
  <si>
    <t>右支座负筋1排角部</t>
    <phoneticPr fontId="1" type="noConversion"/>
  </si>
  <si>
    <t>下部非贯通长筋1排</t>
    <phoneticPr fontId="1" type="noConversion"/>
  </si>
  <si>
    <t>下部非贯通长筋2排</t>
    <phoneticPr fontId="1" type="noConversion"/>
  </si>
  <si>
    <t>梁工程量计算</t>
    <phoneticPr fontId="1" type="noConversion"/>
  </si>
  <si>
    <t>屋面</t>
    <phoneticPr fontId="1" type="noConversion"/>
  </si>
  <si>
    <t>KL1</t>
    <phoneticPr fontId="1" type="noConversion"/>
  </si>
  <si>
    <t>下部非贯通长筋</t>
    <phoneticPr fontId="1" type="noConversion"/>
  </si>
  <si>
    <t>下部通长筋</t>
    <phoneticPr fontId="1" type="noConversion"/>
  </si>
  <si>
    <t>KL2</t>
    <phoneticPr fontId="1" type="noConversion"/>
  </si>
  <si>
    <t>左支座负筋1排</t>
    <phoneticPr fontId="1" type="noConversion"/>
  </si>
  <si>
    <t>右支座负筋1排</t>
    <phoneticPr fontId="1" type="noConversion"/>
  </si>
  <si>
    <t>KL3</t>
    <phoneticPr fontId="1" type="noConversion"/>
  </si>
  <si>
    <t>KL4</t>
    <phoneticPr fontId="1" type="noConversion"/>
  </si>
  <si>
    <t>KL5</t>
    <phoneticPr fontId="1" type="noConversion"/>
  </si>
  <si>
    <t>KL6</t>
    <phoneticPr fontId="1" type="noConversion"/>
  </si>
  <si>
    <t>面积</t>
    <phoneticPr fontId="1" type="noConversion"/>
  </si>
  <si>
    <t>体积</t>
    <phoneticPr fontId="1" type="noConversion"/>
  </si>
  <si>
    <t>钢筋重量</t>
    <phoneticPr fontId="1" type="noConversion"/>
  </si>
  <si>
    <t>单个梁钢筋的重量</t>
    <phoneticPr fontId="1" type="noConversion"/>
  </si>
  <si>
    <t>编号</t>
    <phoneticPr fontId="1" type="noConversion"/>
  </si>
  <si>
    <t>直径(mm)</t>
    <phoneticPr fontId="1" type="noConversion"/>
  </si>
  <si>
    <t>间距(mm)</t>
    <phoneticPr fontId="1" type="noConversion"/>
  </si>
  <si>
    <t>长度(mm)</t>
    <phoneticPr fontId="1" type="noConversion"/>
  </si>
  <si>
    <t>一层楼板工程量计算</t>
    <phoneticPr fontId="1" type="noConversion"/>
  </si>
  <si>
    <t>房间号</t>
    <phoneticPr fontId="1" type="noConversion"/>
  </si>
  <si>
    <t>一层板钢筋类型</t>
    <phoneticPr fontId="1" type="noConversion"/>
  </si>
  <si>
    <t>钢筋类型</t>
    <phoneticPr fontId="1" type="noConversion"/>
  </si>
  <si>
    <t>个数</t>
    <phoneticPr fontId="1" type="noConversion"/>
  </si>
  <si>
    <t>根数</t>
    <phoneticPr fontId="1" type="noConversion"/>
  </si>
  <si>
    <t>钢筋质量(Kg)</t>
    <phoneticPr fontId="1" type="noConversion"/>
  </si>
  <si>
    <t>尺寸(mm)</t>
    <phoneticPr fontId="1" type="noConversion"/>
  </si>
  <si>
    <t>体积</t>
    <phoneticPr fontId="1" type="noConversion"/>
  </si>
  <si>
    <t>二~五层板钢筋类型</t>
    <phoneticPr fontId="1" type="noConversion"/>
  </si>
  <si>
    <t>二~五层楼板工程量计算</t>
    <phoneticPr fontId="1" type="noConversion"/>
  </si>
  <si>
    <t>屋面板钢筋类型</t>
    <phoneticPr fontId="1" type="noConversion"/>
  </si>
  <si>
    <t>屋面楼板工程量计算</t>
    <phoneticPr fontId="1" type="noConversion"/>
  </si>
  <si>
    <t>一段</t>
    <phoneticPr fontId="1" type="noConversion"/>
  </si>
  <si>
    <t>二段</t>
    <phoneticPr fontId="1" type="noConversion"/>
  </si>
  <si>
    <t>层数</t>
    <phoneticPr fontId="1" type="noConversion"/>
  </si>
  <si>
    <t>段数</t>
    <phoneticPr fontId="1" type="noConversion"/>
  </si>
  <si>
    <t>部位</t>
    <phoneticPr fontId="1" type="noConversion"/>
  </si>
  <si>
    <t>柱</t>
    <phoneticPr fontId="1" type="noConversion"/>
  </si>
  <si>
    <t>梁</t>
    <phoneticPr fontId="1" type="noConversion"/>
  </si>
  <si>
    <t>板</t>
    <phoneticPr fontId="1" type="noConversion"/>
  </si>
  <si>
    <t>1层</t>
    <phoneticPr fontId="1" type="noConversion"/>
  </si>
  <si>
    <t>钢筋总量</t>
    <phoneticPr fontId="1" type="noConversion"/>
  </si>
  <si>
    <t>钢筋(Kg)</t>
    <phoneticPr fontId="1" type="noConversion"/>
  </si>
  <si>
    <t>天面层</t>
    <phoneticPr fontId="1" type="noConversion"/>
  </si>
  <si>
    <t>各层各施工段工程量统计</t>
    <phoneticPr fontId="1" type="noConversion"/>
  </si>
  <si>
    <r>
      <t>面积(m</t>
    </r>
    <r>
      <rPr>
        <b/>
        <vertAlign val="superscript"/>
        <sz val="11"/>
        <color theme="1"/>
        <rFont val="宋体"/>
        <family val="3"/>
        <charset val="134"/>
        <scheme val="minor"/>
      </rPr>
      <t>2</t>
    </r>
    <r>
      <rPr>
        <b/>
        <sz val="11"/>
        <color theme="1"/>
        <rFont val="宋体"/>
        <family val="3"/>
        <charset val="134"/>
        <scheme val="minor"/>
      </rPr>
      <t>)</t>
    </r>
    <phoneticPr fontId="1" type="noConversion"/>
  </si>
  <si>
    <r>
      <t>模板(m</t>
    </r>
    <r>
      <rPr>
        <b/>
        <vertAlign val="superscript"/>
        <sz val="11"/>
        <color theme="1"/>
        <rFont val="宋体"/>
        <family val="3"/>
        <charset val="134"/>
        <scheme val="minor"/>
      </rPr>
      <t>2</t>
    </r>
    <r>
      <rPr>
        <b/>
        <sz val="11"/>
        <color theme="1"/>
        <rFont val="宋体"/>
        <family val="3"/>
        <charset val="134"/>
        <scheme val="minor"/>
      </rPr>
      <t>)</t>
    </r>
    <phoneticPr fontId="1" type="noConversion"/>
  </si>
  <si>
    <r>
      <t>混凝土(m</t>
    </r>
    <r>
      <rPr>
        <b/>
        <vertAlign val="superscript"/>
        <sz val="11"/>
        <color theme="1"/>
        <rFont val="宋体"/>
        <family val="3"/>
        <charset val="134"/>
        <scheme val="minor"/>
      </rPr>
      <t>3</t>
    </r>
    <r>
      <rPr>
        <b/>
        <sz val="11"/>
        <color theme="1"/>
        <rFont val="宋体"/>
        <family val="3"/>
        <charset val="134"/>
        <scheme val="minor"/>
      </rPr>
      <t>)</t>
    </r>
    <phoneticPr fontId="1" type="noConversion"/>
  </si>
  <si>
    <t>拆板模</t>
  </si>
  <si>
    <t>支板模</t>
  </si>
  <si>
    <t>浇板混凝土</t>
  </si>
  <si>
    <t>浇梁混凝土</t>
  </si>
  <si>
    <t>拆柱模</t>
  </si>
  <si>
    <t>绑板筋</t>
  </si>
  <si>
    <t>浇柱混凝土</t>
  </si>
  <si>
    <t>支柱模</t>
  </si>
  <si>
    <t>绑柱筋</t>
  </si>
  <si>
    <t>劳动定额</t>
  </si>
  <si>
    <t>单位</t>
  </si>
  <si>
    <t>人数</t>
  </si>
  <si>
    <t>量</t>
  </si>
  <si>
    <t>分项工程</t>
  </si>
  <si>
    <t>Ⅰ</t>
  </si>
  <si>
    <t>天数(日)</t>
    <phoneticPr fontId="13" type="noConversion"/>
  </si>
  <si>
    <r>
      <rPr>
        <sz val="11"/>
        <color theme="1"/>
        <rFont val="宋体"/>
        <family val="3"/>
        <charset val="134"/>
      </rPr>
      <t>工日</t>
    </r>
    <r>
      <rPr>
        <sz val="11"/>
        <color theme="1"/>
        <rFont val="Times New Roman"/>
        <family val="1"/>
      </rPr>
      <t>/t</t>
    </r>
  </si>
  <si>
    <r>
      <rPr>
        <sz val="11"/>
        <color theme="1"/>
        <rFont val="宋体"/>
        <family val="3"/>
        <charset val="134"/>
      </rPr>
      <t>工日</t>
    </r>
    <r>
      <rPr>
        <sz val="11"/>
        <color theme="1"/>
        <rFont val="Times New Roman"/>
        <family val="1"/>
      </rPr>
      <t>/10m²</t>
    </r>
  </si>
  <si>
    <r>
      <rPr>
        <sz val="11"/>
        <color theme="1"/>
        <rFont val="宋体"/>
        <family val="3"/>
        <charset val="134"/>
      </rPr>
      <t>工日</t>
    </r>
    <r>
      <rPr>
        <sz val="11"/>
        <color theme="1"/>
        <rFont val="Times New Roman"/>
        <family val="1"/>
      </rPr>
      <t>/m³</t>
    </r>
  </si>
  <si>
    <t>一层施工天数计算</t>
    <phoneticPr fontId="1" type="noConversion"/>
  </si>
  <si>
    <t>支梁模</t>
    <phoneticPr fontId="1" type="noConversion"/>
  </si>
  <si>
    <t>拆梁模</t>
    <phoneticPr fontId="1" type="noConversion"/>
  </si>
  <si>
    <t>Ⅱ</t>
    <phoneticPr fontId="1" type="noConversion"/>
  </si>
  <si>
    <t>绑梁筋</t>
    <phoneticPr fontId="1" type="noConversion"/>
  </si>
  <si>
    <t>Ⅰ</t>
    <phoneticPr fontId="13" type="noConversion"/>
  </si>
  <si>
    <t>Ⅱ</t>
    <phoneticPr fontId="13" type="noConversion"/>
  </si>
  <si>
    <t>流水节拍</t>
    <phoneticPr fontId="13" type="noConversion"/>
  </si>
  <si>
    <t>间歇时间</t>
    <phoneticPr fontId="13" type="noConversion"/>
  </si>
  <si>
    <t>支柱模</t>
    <phoneticPr fontId="13" type="noConversion"/>
  </si>
  <si>
    <t>支梁板模</t>
    <phoneticPr fontId="13" type="noConversion"/>
  </si>
  <si>
    <t>浇柱</t>
    <phoneticPr fontId="13" type="noConversion"/>
  </si>
  <si>
    <t>浇梁、板</t>
    <phoneticPr fontId="13" type="noConversion"/>
  </si>
  <si>
    <t>拆模板</t>
    <phoneticPr fontId="13" type="noConversion"/>
  </si>
  <si>
    <t>二支两浇</t>
    <phoneticPr fontId="13" type="noConversion"/>
  </si>
  <si>
    <t>拆模时间</t>
    <phoneticPr fontId="13" type="noConversion"/>
  </si>
  <si>
    <t>层数</t>
    <phoneticPr fontId="13" type="noConversion"/>
  </si>
  <si>
    <t>工序</t>
    <phoneticPr fontId="13" type="noConversion"/>
  </si>
  <si>
    <t>开始时间</t>
    <phoneticPr fontId="13" type="noConversion"/>
  </si>
  <si>
    <t>天数</t>
    <phoneticPr fontId="13" type="noConversion"/>
  </si>
  <si>
    <t>结束时间</t>
    <phoneticPr fontId="13" type="noConversion"/>
  </si>
  <si>
    <t>一层</t>
    <phoneticPr fontId="13" type="noConversion"/>
  </si>
  <si>
    <t>1-①支梁板模</t>
    <phoneticPr fontId="13" type="noConversion"/>
  </si>
  <si>
    <t>1-①浇柱</t>
    <phoneticPr fontId="13" type="noConversion"/>
  </si>
  <si>
    <t>1-①浇梁板</t>
    <phoneticPr fontId="13" type="noConversion"/>
  </si>
  <si>
    <t>1-①拆模</t>
    <phoneticPr fontId="13" type="noConversion"/>
  </si>
  <si>
    <t>天面层施工天数计算</t>
    <phoneticPr fontId="1" type="noConversion"/>
  </si>
  <si>
    <t>2~4层</t>
    <phoneticPr fontId="1" type="noConversion"/>
  </si>
  <si>
    <t>二~四层施工天数计算</t>
    <phoneticPr fontId="1" type="noConversion"/>
  </si>
  <si>
    <t>柱</t>
    <phoneticPr fontId="1" type="noConversion"/>
  </si>
  <si>
    <t>层数</t>
    <phoneticPr fontId="1" type="noConversion"/>
  </si>
  <si>
    <t xml:space="preserve"> n         m</t>
    <phoneticPr fontId="13" type="noConversion"/>
  </si>
  <si>
    <t>绑柱筋</t>
    <phoneticPr fontId="1" type="noConversion"/>
  </si>
  <si>
    <t>绑梁板筋</t>
    <phoneticPr fontId="1" type="noConversion"/>
  </si>
  <si>
    <t>2~4</t>
    <phoneticPr fontId="1" type="noConversion"/>
  </si>
  <si>
    <t>1-①支柱模</t>
    <phoneticPr fontId="13" type="noConversion"/>
  </si>
  <si>
    <t>1-①绑柱筋</t>
    <phoneticPr fontId="1" type="noConversion"/>
  </si>
  <si>
    <t>1-①绑梁板筋</t>
    <phoneticPr fontId="1" type="noConversion"/>
  </si>
  <si>
    <t>2-②支柱模</t>
    <phoneticPr fontId="13" type="noConversion"/>
  </si>
  <si>
    <t>1-②拆模</t>
    <phoneticPr fontId="13" type="noConversion"/>
  </si>
  <si>
    <t>1-②浇梁板</t>
    <phoneticPr fontId="13" type="noConversion"/>
  </si>
  <si>
    <t>1-②浇柱</t>
    <phoneticPr fontId="13" type="noConversion"/>
  </si>
  <si>
    <t>1-②绑梁板筋</t>
    <phoneticPr fontId="1" type="noConversion"/>
  </si>
  <si>
    <t>1-②支梁板模</t>
    <phoneticPr fontId="13" type="noConversion"/>
  </si>
  <si>
    <t>1-②支柱模</t>
    <phoneticPr fontId="13" type="noConversion"/>
  </si>
  <si>
    <t>1-②绑柱筋</t>
    <phoneticPr fontId="1" type="noConversion"/>
  </si>
  <si>
    <t>二层</t>
    <phoneticPr fontId="13" type="noConversion"/>
  </si>
  <si>
    <t>三层</t>
    <phoneticPr fontId="13" type="noConversion"/>
  </si>
  <si>
    <t>2-①绑柱筋</t>
    <phoneticPr fontId="1" type="noConversion"/>
  </si>
  <si>
    <t>2-①支柱模</t>
    <phoneticPr fontId="13" type="noConversion"/>
  </si>
  <si>
    <t>2-①支梁板模</t>
    <phoneticPr fontId="13" type="noConversion"/>
  </si>
  <si>
    <t>2-①绑梁板筋</t>
    <phoneticPr fontId="1" type="noConversion"/>
  </si>
  <si>
    <t>2-①浇柱</t>
    <phoneticPr fontId="13" type="noConversion"/>
  </si>
  <si>
    <t>2-①浇梁板</t>
    <phoneticPr fontId="13" type="noConversion"/>
  </si>
  <si>
    <t>2-①拆模</t>
    <phoneticPr fontId="13" type="noConversion"/>
  </si>
  <si>
    <t>2-②绑柱筋</t>
    <phoneticPr fontId="1" type="noConversion"/>
  </si>
  <si>
    <t>2-②支梁板模</t>
    <phoneticPr fontId="13" type="noConversion"/>
  </si>
  <si>
    <t>2-②绑梁板筋</t>
    <phoneticPr fontId="1" type="noConversion"/>
  </si>
  <si>
    <t>2-②浇柱</t>
    <phoneticPr fontId="13" type="noConversion"/>
  </si>
  <si>
    <t>2-②浇梁板</t>
    <phoneticPr fontId="13" type="noConversion"/>
  </si>
  <si>
    <t>2-②拆模</t>
    <phoneticPr fontId="13" type="noConversion"/>
  </si>
  <si>
    <t>3-①绑柱筋</t>
    <phoneticPr fontId="1" type="noConversion"/>
  </si>
  <si>
    <t>3-①支柱模</t>
    <phoneticPr fontId="13" type="noConversion"/>
  </si>
  <si>
    <t>3-①支梁板模</t>
    <phoneticPr fontId="13" type="noConversion"/>
  </si>
  <si>
    <t>3-①绑梁板筋</t>
    <phoneticPr fontId="1" type="noConversion"/>
  </si>
  <si>
    <t>3-①浇柱</t>
    <phoneticPr fontId="13" type="noConversion"/>
  </si>
  <si>
    <t>3-①浇梁板</t>
    <phoneticPr fontId="13" type="noConversion"/>
  </si>
  <si>
    <t>3-①拆模</t>
    <phoneticPr fontId="13" type="noConversion"/>
  </si>
  <si>
    <t>3-②绑柱筋</t>
    <phoneticPr fontId="1" type="noConversion"/>
  </si>
  <si>
    <t>3-②支柱模</t>
    <phoneticPr fontId="13" type="noConversion"/>
  </si>
  <si>
    <t>3-②支梁板模</t>
    <phoneticPr fontId="13" type="noConversion"/>
  </si>
  <si>
    <t>3-②绑梁板筋</t>
    <phoneticPr fontId="1" type="noConversion"/>
  </si>
  <si>
    <t>3-②浇柱</t>
    <phoneticPr fontId="13" type="noConversion"/>
  </si>
  <si>
    <t>3-②浇梁板</t>
    <phoneticPr fontId="13" type="noConversion"/>
  </si>
  <si>
    <t>3-②拆模</t>
    <phoneticPr fontId="13" type="noConversion"/>
  </si>
  <si>
    <t>四层</t>
    <phoneticPr fontId="13" type="noConversion"/>
  </si>
  <si>
    <t>4-①绑柱筋</t>
    <phoneticPr fontId="1" type="noConversion"/>
  </si>
  <si>
    <t>4-①支柱模</t>
    <phoneticPr fontId="13" type="noConversion"/>
  </si>
  <si>
    <t>4-①支梁板模</t>
    <phoneticPr fontId="13" type="noConversion"/>
  </si>
  <si>
    <t>4-①绑梁板筋</t>
    <phoneticPr fontId="1" type="noConversion"/>
  </si>
  <si>
    <t>4-①浇柱</t>
    <phoneticPr fontId="13" type="noConversion"/>
  </si>
  <si>
    <t>4-①浇梁板</t>
    <phoneticPr fontId="13" type="noConversion"/>
  </si>
  <si>
    <t>4-①拆模</t>
    <phoneticPr fontId="13" type="noConversion"/>
  </si>
  <si>
    <t>4-②绑柱筋</t>
    <phoneticPr fontId="1" type="noConversion"/>
  </si>
  <si>
    <t>4-②支柱模</t>
    <phoneticPr fontId="13" type="noConversion"/>
  </si>
  <si>
    <t>4-②支梁板模</t>
    <phoneticPr fontId="13" type="noConversion"/>
  </si>
  <si>
    <t>4-②绑梁板筋</t>
    <phoneticPr fontId="1" type="noConversion"/>
  </si>
  <si>
    <t>4-②浇柱</t>
    <phoneticPr fontId="13" type="noConversion"/>
  </si>
  <si>
    <t>4-②浇梁板</t>
    <phoneticPr fontId="13" type="noConversion"/>
  </si>
  <si>
    <t>4-②拆模</t>
    <phoneticPr fontId="13" type="noConversion"/>
  </si>
  <si>
    <t>五层</t>
    <phoneticPr fontId="13" type="noConversion"/>
  </si>
  <si>
    <t>5-①绑柱筋</t>
    <phoneticPr fontId="1" type="noConversion"/>
  </si>
  <si>
    <t>5-①支柱模</t>
    <phoneticPr fontId="13" type="noConversion"/>
  </si>
  <si>
    <t>5-①支梁板模</t>
    <phoneticPr fontId="13" type="noConversion"/>
  </si>
  <si>
    <t>5-①绑梁板筋</t>
    <phoneticPr fontId="1" type="noConversion"/>
  </si>
  <si>
    <t>5-①浇柱</t>
    <phoneticPr fontId="13" type="noConversion"/>
  </si>
  <si>
    <t>5-①浇梁板</t>
    <phoneticPr fontId="13" type="noConversion"/>
  </si>
  <si>
    <t>5-①拆模</t>
    <phoneticPr fontId="13" type="noConversion"/>
  </si>
  <si>
    <t>5-②绑柱筋</t>
    <phoneticPr fontId="1" type="noConversion"/>
  </si>
  <si>
    <t>5-②支柱模</t>
    <phoneticPr fontId="13" type="noConversion"/>
  </si>
  <si>
    <t>5-②支梁板模</t>
    <phoneticPr fontId="13" type="noConversion"/>
  </si>
  <si>
    <t>5-②绑梁板筋</t>
    <phoneticPr fontId="1" type="noConversion"/>
  </si>
  <si>
    <t>5-②浇柱</t>
    <phoneticPr fontId="13" type="noConversion"/>
  </si>
  <si>
    <t>5-②浇梁板</t>
    <phoneticPr fontId="13" type="noConversion"/>
  </si>
  <si>
    <t>5-②拆模</t>
    <phoneticPr fontId="13" type="noConversion"/>
  </si>
  <si>
    <t>工期</t>
    <phoneticPr fontId="1" type="noConversion"/>
  </si>
  <si>
    <t>人数</t>
    <phoneticPr fontId="1" type="noConversion"/>
  </si>
  <si>
    <t>劳动力计算</t>
    <phoneticPr fontId="1" type="noConversion"/>
  </si>
  <si>
    <t>时间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</si>
</sst>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_ "/>
    <numFmt numFmtId="177" formatCode="0.000_);[Red]\(0.000\)"/>
    <numFmt numFmtId="178" formatCode="0.00_ "/>
  </numFmts>
  <fonts count="1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vertAlign val="subscript"/>
      <sz val="11"/>
      <color theme="1"/>
      <name val="宋体"/>
      <family val="3"/>
      <charset val="134"/>
      <scheme val="minor"/>
    </font>
    <font>
      <b/>
      <vertAlign val="superscript"/>
      <sz val="11"/>
      <color theme="1"/>
      <name val="宋体"/>
      <family val="3"/>
      <charset val="134"/>
      <scheme val="minor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vertAlign val="subscript"/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8" fillId="7" borderId="34" xfId="0" applyFont="1" applyFill="1" applyBorder="1" applyAlignment="1">
      <alignment horizontal="center" vertical="center"/>
    </xf>
    <xf numFmtId="0" fontId="0" fillId="7" borderId="34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2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4" xfId="0" applyBorder="1">
      <alignment vertical="center"/>
    </xf>
    <xf numFmtId="0" fontId="0" fillId="4" borderId="2" xfId="0" applyFill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5" xfId="0" applyFont="1" applyFill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28" xfId="0" applyFont="1" applyFill="1" applyBorder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8" xfId="0" applyFont="1" applyFill="1" applyBorder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2" fillId="0" borderId="0" xfId="1" applyFont="1">
      <alignment vertical="center"/>
    </xf>
    <xf numFmtId="0" fontId="8" fillId="0" borderId="0" xfId="1" applyFont="1" applyBorder="1" applyAlignment="1">
      <alignment vertical="center"/>
    </xf>
    <xf numFmtId="0" fontId="8" fillId="0" borderId="0" xfId="1" applyFont="1" applyBorder="1">
      <alignment vertical="center"/>
    </xf>
    <xf numFmtId="0" fontId="8" fillId="0" borderId="0" xfId="1" applyFont="1">
      <alignment vertical="center"/>
    </xf>
    <xf numFmtId="0" fontId="12" fillId="0" borderId="46" xfId="1" applyNumberFormat="1" applyFont="1" applyBorder="1" applyAlignment="1">
      <alignment vertical="center" wrapText="1"/>
    </xf>
    <xf numFmtId="0" fontId="8" fillId="0" borderId="0" xfId="1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top" wrapText="1"/>
    </xf>
    <xf numFmtId="0" fontId="8" fillId="0" borderId="46" xfId="1" applyFont="1" applyBorder="1" applyAlignment="1">
      <alignment vertical="center"/>
    </xf>
    <xf numFmtId="0" fontId="8" fillId="0" borderId="0" xfId="1" applyFont="1" applyBorder="1" applyAlignment="1">
      <alignment horizontal="justify" vertical="center" wrapText="1"/>
    </xf>
    <xf numFmtId="0" fontId="14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4" fontId="0" fillId="0" borderId="0" xfId="0" applyNumberFormat="1" applyBorder="1">
      <alignment vertical="center"/>
    </xf>
    <xf numFmtId="177" fontId="0" fillId="0" borderId="0" xfId="0" applyNumberFormat="1" applyBorder="1">
      <alignment vertical="center"/>
    </xf>
    <xf numFmtId="0" fontId="0" fillId="0" borderId="2" xfId="0" applyNumberForma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77" fontId="8" fillId="0" borderId="0" xfId="0" applyNumberFormat="1" applyFont="1" applyFill="1" applyBorder="1">
      <alignment vertical="center"/>
    </xf>
    <xf numFmtId="14" fontId="0" fillId="0" borderId="0" xfId="0" applyNumberFormat="1" applyFill="1" applyBorder="1" applyAlignment="1">
      <alignment horizontal="center" vertical="center"/>
    </xf>
    <xf numFmtId="14" fontId="0" fillId="0" borderId="0" xfId="0" applyNumberFormat="1">
      <alignment vertical="center"/>
    </xf>
    <xf numFmtId="178" fontId="8" fillId="0" borderId="2" xfId="1" applyNumberFormat="1" applyFont="1" applyBorder="1" applyAlignment="1">
      <alignment horizontal="center" vertical="center" wrapText="1"/>
    </xf>
    <xf numFmtId="178" fontId="14" fillId="0" borderId="2" xfId="1" applyNumberFormat="1" applyFon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0" fontId="8" fillId="0" borderId="48" xfId="0" applyFont="1" applyBorder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176" fontId="0" fillId="4" borderId="2" xfId="0" applyNumberFormat="1" applyFill="1" applyBorder="1" applyAlignment="1">
      <alignment horizontal="center" vertical="center"/>
    </xf>
    <xf numFmtId="0" fontId="0" fillId="4" borderId="2" xfId="0" applyNumberFormat="1" applyFill="1" applyBorder="1" applyAlignment="1">
      <alignment horizontal="center" vertical="center"/>
    </xf>
    <xf numFmtId="0" fontId="8" fillId="4" borderId="50" xfId="0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77" fontId="8" fillId="0" borderId="2" xfId="0" applyNumberFormat="1" applyFont="1" applyBorder="1" applyAlignment="1">
      <alignment horizontal="left" vertical="center"/>
    </xf>
    <xf numFmtId="177" fontId="8" fillId="0" borderId="2" xfId="0" applyNumberFormat="1" applyFont="1" applyBorder="1" applyAlignment="1">
      <alignment vertical="center"/>
    </xf>
    <xf numFmtId="177" fontId="8" fillId="0" borderId="2" xfId="0" applyNumberFormat="1" applyFont="1" applyBorder="1">
      <alignment vertical="center"/>
    </xf>
    <xf numFmtId="1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177" fontId="8" fillId="0" borderId="2" xfId="0" applyNumberFormat="1" applyFont="1" applyFill="1" applyBorder="1">
      <alignment vertical="center"/>
    </xf>
    <xf numFmtId="14" fontId="0" fillId="0" borderId="2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/>
    </xf>
    <xf numFmtId="14" fontId="8" fillId="3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4" fontId="0" fillId="0" borderId="2" xfId="0" applyNumberFormat="1" applyBorder="1">
      <alignment vertical="center"/>
    </xf>
    <xf numFmtId="0" fontId="0" fillId="0" borderId="0" xfId="0" applyFill="1" applyAlignment="1">
      <alignment vertical="center"/>
    </xf>
    <xf numFmtId="0" fontId="0" fillId="0" borderId="46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7" borderId="29" xfId="0" applyFont="1" applyFill="1" applyBorder="1" applyAlignment="1">
      <alignment horizontal="center" vertical="center"/>
    </xf>
    <xf numFmtId="0" fontId="8" fillId="7" borderId="32" xfId="0" applyFont="1" applyFill="1" applyBorder="1" applyAlignment="1">
      <alignment horizontal="center" vertical="center"/>
    </xf>
    <xf numFmtId="0" fontId="8" fillId="7" borderId="33" xfId="0" applyFont="1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2" fillId="8" borderId="38" xfId="0" applyFont="1" applyFill="1" applyBorder="1" applyAlignment="1">
      <alignment horizontal="center" vertical="center"/>
    </xf>
    <xf numFmtId="0" fontId="2" fillId="8" borderId="39" xfId="0" applyFont="1" applyFill="1" applyBorder="1" applyAlignment="1">
      <alignment horizontal="center" vertical="center"/>
    </xf>
    <xf numFmtId="0" fontId="2" fillId="8" borderId="37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8" fontId="15" fillId="0" borderId="2" xfId="1" applyNumberFormat="1" applyFont="1" applyBorder="1" applyAlignment="1">
      <alignment horizontal="center" vertical="center"/>
    </xf>
    <xf numFmtId="0" fontId="15" fillId="0" borderId="47" xfId="1" applyNumberFormat="1" applyFont="1" applyBorder="1" applyAlignment="1">
      <alignment horizontal="center" vertical="center" wrapText="1"/>
    </xf>
    <xf numFmtId="178" fontId="8" fillId="0" borderId="2" xfId="1" applyNumberFormat="1" applyFont="1" applyBorder="1" applyAlignment="1">
      <alignment horizontal="center" vertical="center" wrapText="1"/>
    </xf>
    <xf numFmtId="178" fontId="8" fillId="0" borderId="14" xfId="1" applyNumberFormat="1" applyFont="1" applyBorder="1" applyAlignment="1">
      <alignment horizontal="center" vertical="center" wrapText="1"/>
    </xf>
    <xf numFmtId="178" fontId="8" fillId="0" borderId="12" xfId="1" applyNumberFormat="1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58" fontId="0" fillId="0" borderId="2" xfId="0" applyNumberFormat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zh-CN" sz="2400" b="1">
                <a:solidFill>
                  <a:schemeClr val="tx1"/>
                </a:solidFill>
              </a:rPr>
              <a:t>流水施工图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noFill/>
              </a:ln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排计划!$C$29</c:f>
              <c:strCache>
                <c:ptCount val="1"/>
                <c:pt idx="0">
                  <c:v>开始时间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排计划!$B$30:$B$109</c:f>
              <c:strCache>
                <c:ptCount val="70"/>
                <c:pt idx="0">
                  <c:v>1-①绑柱筋</c:v>
                </c:pt>
                <c:pt idx="1">
                  <c:v>1-①支柱模</c:v>
                </c:pt>
                <c:pt idx="2">
                  <c:v>1-①支梁板模</c:v>
                </c:pt>
                <c:pt idx="3">
                  <c:v>1-①绑梁板筋</c:v>
                </c:pt>
                <c:pt idx="4">
                  <c:v>1-①浇柱</c:v>
                </c:pt>
                <c:pt idx="5">
                  <c:v>1-①浇梁板</c:v>
                </c:pt>
                <c:pt idx="6">
                  <c:v>1-①拆模</c:v>
                </c:pt>
                <c:pt idx="7">
                  <c:v>1-②绑柱筋</c:v>
                </c:pt>
                <c:pt idx="8">
                  <c:v>1-②支柱模</c:v>
                </c:pt>
                <c:pt idx="9">
                  <c:v>1-②支梁板模</c:v>
                </c:pt>
                <c:pt idx="10">
                  <c:v>1-②绑梁板筋</c:v>
                </c:pt>
                <c:pt idx="11">
                  <c:v>1-②浇柱</c:v>
                </c:pt>
                <c:pt idx="12">
                  <c:v>1-②浇梁板</c:v>
                </c:pt>
                <c:pt idx="13">
                  <c:v>1-②拆模</c:v>
                </c:pt>
                <c:pt idx="14">
                  <c:v>2-①绑柱筋</c:v>
                </c:pt>
                <c:pt idx="15">
                  <c:v>2-①支柱模</c:v>
                </c:pt>
                <c:pt idx="16">
                  <c:v>2-①支梁板模</c:v>
                </c:pt>
                <c:pt idx="17">
                  <c:v>2-①绑梁板筋</c:v>
                </c:pt>
                <c:pt idx="18">
                  <c:v>2-①浇柱</c:v>
                </c:pt>
                <c:pt idx="19">
                  <c:v>2-①浇梁板</c:v>
                </c:pt>
                <c:pt idx="20">
                  <c:v>2-①拆模</c:v>
                </c:pt>
                <c:pt idx="21">
                  <c:v>2-②绑柱筋</c:v>
                </c:pt>
                <c:pt idx="22">
                  <c:v>2-②支柱模</c:v>
                </c:pt>
                <c:pt idx="23">
                  <c:v>2-②支梁板模</c:v>
                </c:pt>
                <c:pt idx="24">
                  <c:v>2-②绑梁板筋</c:v>
                </c:pt>
                <c:pt idx="25">
                  <c:v>2-②浇柱</c:v>
                </c:pt>
                <c:pt idx="26">
                  <c:v>2-②浇梁板</c:v>
                </c:pt>
                <c:pt idx="27">
                  <c:v>2-②拆模</c:v>
                </c:pt>
                <c:pt idx="28">
                  <c:v>3-①绑柱筋</c:v>
                </c:pt>
                <c:pt idx="29">
                  <c:v>3-①支柱模</c:v>
                </c:pt>
                <c:pt idx="30">
                  <c:v>3-①支梁板模</c:v>
                </c:pt>
                <c:pt idx="31">
                  <c:v>3-①绑梁板筋</c:v>
                </c:pt>
                <c:pt idx="32">
                  <c:v>3-①浇柱</c:v>
                </c:pt>
                <c:pt idx="33">
                  <c:v>3-①浇梁板</c:v>
                </c:pt>
                <c:pt idx="34">
                  <c:v>3-①拆模</c:v>
                </c:pt>
                <c:pt idx="35">
                  <c:v>3-②绑柱筋</c:v>
                </c:pt>
                <c:pt idx="36">
                  <c:v>3-②支柱模</c:v>
                </c:pt>
                <c:pt idx="37">
                  <c:v>3-②支梁板模</c:v>
                </c:pt>
                <c:pt idx="38">
                  <c:v>3-②绑梁板筋</c:v>
                </c:pt>
                <c:pt idx="39">
                  <c:v>3-②浇柱</c:v>
                </c:pt>
                <c:pt idx="40">
                  <c:v>3-②浇梁板</c:v>
                </c:pt>
                <c:pt idx="41">
                  <c:v>3-②拆模</c:v>
                </c:pt>
                <c:pt idx="42">
                  <c:v>4-①绑柱筋</c:v>
                </c:pt>
                <c:pt idx="43">
                  <c:v>4-①支柱模</c:v>
                </c:pt>
                <c:pt idx="44">
                  <c:v>4-①支梁板模</c:v>
                </c:pt>
                <c:pt idx="45">
                  <c:v>4-①绑梁板筋</c:v>
                </c:pt>
                <c:pt idx="46">
                  <c:v>4-①浇柱</c:v>
                </c:pt>
                <c:pt idx="47">
                  <c:v>4-①浇梁板</c:v>
                </c:pt>
                <c:pt idx="48">
                  <c:v>4-①拆模</c:v>
                </c:pt>
                <c:pt idx="49">
                  <c:v>4-②绑柱筋</c:v>
                </c:pt>
                <c:pt idx="50">
                  <c:v>4-②支柱模</c:v>
                </c:pt>
                <c:pt idx="51">
                  <c:v>4-②支梁板模</c:v>
                </c:pt>
                <c:pt idx="52">
                  <c:v>4-②绑梁板筋</c:v>
                </c:pt>
                <c:pt idx="53">
                  <c:v>4-②浇柱</c:v>
                </c:pt>
                <c:pt idx="54">
                  <c:v>4-②浇梁板</c:v>
                </c:pt>
                <c:pt idx="55">
                  <c:v>4-②拆模</c:v>
                </c:pt>
                <c:pt idx="56">
                  <c:v>5-①绑柱筋</c:v>
                </c:pt>
                <c:pt idx="57">
                  <c:v>5-①支柱模</c:v>
                </c:pt>
                <c:pt idx="58">
                  <c:v>5-①支梁板模</c:v>
                </c:pt>
                <c:pt idx="59">
                  <c:v>5-①绑梁板筋</c:v>
                </c:pt>
                <c:pt idx="60">
                  <c:v>5-①浇柱</c:v>
                </c:pt>
                <c:pt idx="61">
                  <c:v>5-①浇梁板</c:v>
                </c:pt>
                <c:pt idx="62">
                  <c:v>5-①拆模</c:v>
                </c:pt>
                <c:pt idx="63">
                  <c:v>5-②绑柱筋</c:v>
                </c:pt>
                <c:pt idx="64">
                  <c:v>5-②支柱模</c:v>
                </c:pt>
                <c:pt idx="65">
                  <c:v>5-②支梁板模</c:v>
                </c:pt>
                <c:pt idx="66">
                  <c:v>5-②绑梁板筋</c:v>
                </c:pt>
                <c:pt idx="67">
                  <c:v>5-②浇柱</c:v>
                </c:pt>
                <c:pt idx="68">
                  <c:v>5-②浇梁板</c:v>
                </c:pt>
                <c:pt idx="69">
                  <c:v>5-②拆模</c:v>
                </c:pt>
              </c:strCache>
            </c:strRef>
          </c:cat>
          <c:val>
            <c:numRef>
              <c:f>排计划!$C$30:$C$109</c:f>
              <c:numCache>
                <c:formatCode>m/d/yyyy</c:formatCode>
                <c:ptCount val="80"/>
                <c:pt idx="0">
                  <c:v>43237</c:v>
                </c:pt>
                <c:pt idx="1">
                  <c:v>43238</c:v>
                </c:pt>
                <c:pt idx="2">
                  <c:v>43239</c:v>
                </c:pt>
                <c:pt idx="3">
                  <c:v>43241</c:v>
                </c:pt>
                <c:pt idx="4">
                  <c:v>43244</c:v>
                </c:pt>
                <c:pt idx="5">
                  <c:v>43245</c:v>
                </c:pt>
                <c:pt idx="6">
                  <c:v>43248</c:v>
                </c:pt>
                <c:pt idx="7">
                  <c:v>43238</c:v>
                </c:pt>
                <c:pt idx="8">
                  <c:v>43239</c:v>
                </c:pt>
                <c:pt idx="9">
                  <c:v>43240</c:v>
                </c:pt>
                <c:pt idx="10">
                  <c:v>43242</c:v>
                </c:pt>
                <c:pt idx="11">
                  <c:v>43245</c:v>
                </c:pt>
                <c:pt idx="12">
                  <c:v>43246</c:v>
                </c:pt>
                <c:pt idx="13">
                  <c:v>43249</c:v>
                </c:pt>
                <c:pt idx="14">
                  <c:v>43251</c:v>
                </c:pt>
                <c:pt idx="15">
                  <c:v>43252</c:v>
                </c:pt>
                <c:pt idx="16">
                  <c:v>43253</c:v>
                </c:pt>
                <c:pt idx="17">
                  <c:v>43255</c:v>
                </c:pt>
                <c:pt idx="18">
                  <c:v>43258</c:v>
                </c:pt>
                <c:pt idx="19">
                  <c:v>43259</c:v>
                </c:pt>
                <c:pt idx="20">
                  <c:v>43262</c:v>
                </c:pt>
                <c:pt idx="21">
                  <c:v>43252</c:v>
                </c:pt>
                <c:pt idx="22">
                  <c:v>43253</c:v>
                </c:pt>
                <c:pt idx="23">
                  <c:v>43254</c:v>
                </c:pt>
                <c:pt idx="24">
                  <c:v>43256</c:v>
                </c:pt>
                <c:pt idx="25">
                  <c:v>43259</c:v>
                </c:pt>
                <c:pt idx="26">
                  <c:v>43260</c:v>
                </c:pt>
                <c:pt idx="27">
                  <c:v>43263</c:v>
                </c:pt>
                <c:pt idx="28">
                  <c:v>43266</c:v>
                </c:pt>
                <c:pt idx="29">
                  <c:v>43267</c:v>
                </c:pt>
                <c:pt idx="30">
                  <c:v>43268</c:v>
                </c:pt>
                <c:pt idx="31">
                  <c:v>43270</c:v>
                </c:pt>
                <c:pt idx="32">
                  <c:v>43273</c:v>
                </c:pt>
                <c:pt idx="33">
                  <c:v>43274</c:v>
                </c:pt>
                <c:pt idx="34">
                  <c:v>43277</c:v>
                </c:pt>
                <c:pt idx="35">
                  <c:v>43267</c:v>
                </c:pt>
                <c:pt idx="36">
                  <c:v>43268</c:v>
                </c:pt>
                <c:pt idx="37">
                  <c:v>43269</c:v>
                </c:pt>
                <c:pt idx="38">
                  <c:v>43271</c:v>
                </c:pt>
                <c:pt idx="39">
                  <c:v>43274</c:v>
                </c:pt>
                <c:pt idx="40">
                  <c:v>43275</c:v>
                </c:pt>
                <c:pt idx="41">
                  <c:v>43278</c:v>
                </c:pt>
                <c:pt idx="42">
                  <c:v>43281</c:v>
                </c:pt>
                <c:pt idx="43">
                  <c:v>43282</c:v>
                </c:pt>
                <c:pt idx="44">
                  <c:v>43283</c:v>
                </c:pt>
                <c:pt idx="45">
                  <c:v>43285</c:v>
                </c:pt>
                <c:pt idx="46">
                  <c:v>43288</c:v>
                </c:pt>
                <c:pt idx="47">
                  <c:v>43289</c:v>
                </c:pt>
                <c:pt idx="48">
                  <c:v>43292</c:v>
                </c:pt>
                <c:pt idx="49">
                  <c:v>43282</c:v>
                </c:pt>
                <c:pt idx="50">
                  <c:v>43283</c:v>
                </c:pt>
                <c:pt idx="51">
                  <c:v>43284</c:v>
                </c:pt>
                <c:pt idx="52">
                  <c:v>43286</c:v>
                </c:pt>
                <c:pt idx="53">
                  <c:v>43289</c:v>
                </c:pt>
                <c:pt idx="54">
                  <c:v>43290</c:v>
                </c:pt>
                <c:pt idx="55">
                  <c:v>43293</c:v>
                </c:pt>
                <c:pt idx="56">
                  <c:v>43296</c:v>
                </c:pt>
                <c:pt idx="57">
                  <c:v>43297</c:v>
                </c:pt>
                <c:pt idx="58">
                  <c:v>43298</c:v>
                </c:pt>
                <c:pt idx="59">
                  <c:v>43300</c:v>
                </c:pt>
                <c:pt idx="60">
                  <c:v>43302</c:v>
                </c:pt>
                <c:pt idx="61">
                  <c:v>43303</c:v>
                </c:pt>
                <c:pt idx="62">
                  <c:v>43306</c:v>
                </c:pt>
                <c:pt idx="63">
                  <c:v>43297</c:v>
                </c:pt>
                <c:pt idx="64">
                  <c:v>43298</c:v>
                </c:pt>
                <c:pt idx="65">
                  <c:v>43299</c:v>
                </c:pt>
                <c:pt idx="66">
                  <c:v>43301</c:v>
                </c:pt>
                <c:pt idx="67">
                  <c:v>43303</c:v>
                </c:pt>
                <c:pt idx="68">
                  <c:v>43304</c:v>
                </c:pt>
                <c:pt idx="69">
                  <c:v>43307</c:v>
                </c:pt>
              </c:numCache>
            </c:numRef>
          </c:val>
        </c:ser>
        <c:ser>
          <c:idx val="1"/>
          <c:order val="1"/>
          <c:tx>
            <c:strRef>
              <c:f>排计划!$D$29</c:f>
              <c:strCache>
                <c:ptCount val="1"/>
                <c:pt idx="0">
                  <c:v>天数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ln>
                      <a:noFill/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排计划!$B$30:$B$109</c:f>
              <c:strCache>
                <c:ptCount val="70"/>
                <c:pt idx="0">
                  <c:v>1-①绑柱筋</c:v>
                </c:pt>
                <c:pt idx="1">
                  <c:v>1-①支柱模</c:v>
                </c:pt>
                <c:pt idx="2">
                  <c:v>1-①支梁板模</c:v>
                </c:pt>
                <c:pt idx="3">
                  <c:v>1-①绑梁板筋</c:v>
                </c:pt>
                <c:pt idx="4">
                  <c:v>1-①浇柱</c:v>
                </c:pt>
                <c:pt idx="5">
                  <c:v>1-①浇梁板</c:v>
                </c:pt>
                <c:pt idx="6">
                  <c:v>1-①拆模</c:v>
                </c:pt>
                <c:pt idx="7">
                  <c:v>1-②绑柱筋</c:v>
                </c:pt>
                <c:pt idx="8">
                  <c:v>1-②支柱模</c:v>
                </c:pt>
                <c:pt idx="9">
                  <c:v>1-②支梁板模</c:v>
                </c:pt>
                <c:pt idx="10">
                  <c:v>1-②绑梁板筋</c:v>
                </c:pt>
                <c:pt idx="11">
                  <c:v>1-②浇柱</c:v>
                </c:pt>
                <c:pt idx="12">
                  <c:v>1-②浇梁板</c:v>
                </c:pt>
                <c:pt idx="13">
                  <c:v>1-②拆模</c:v>
                </c:pt>
                <c:pt idx="14">
                  <c:v>2-①绑柱筋</c:v>
                </c:pt>
                <c:pt idx="15">
                  <c:v>2-①支柱模</c:v>
                </c:pt>
                <c:pt idx="16">
                  <c:v>2-①支梁板模</c:v>
                </c:pt>
                <c:pt idx="17">
                  <c:v>2-①绑梁板筋</c:v>
                </c:pt>
                <c:pt idx="18">
                  <c:v>2-①浇柱</c:v>
                </c:pt>
                <c:pt idx="19">
                  <c:v>2-①浇梁板</c:v>
                </c:pt>
                <c:pt idx="20">
                  <c:v>2-①拆模</c:v>
                </c:pt>
                <c:pt idx="21">
                  <c:v>2-②绑柱筋</c:v>
                </c:pt>
                <c:pt idx="22">
                  <c:v>2-②支柱模</c:v>
                </c:pt>
                <c:pt idx="23">
                  <c:v>2-②支梁板模</c:v>
                </c:pt>
                <c:pt idx="24">
                  <c:v>2-②绑梁板筋</c:v>
                </c:pt>
                <c:pt idx="25">
                  <c:v>2-②浇柱</c:v>
                </c:pt>
                <c:pt idx="26">
                  <c:v>2-②浇梁板</c:v>
                </c:pt>
                <c:pt idx="27">
                  <c:v>2-②拆模</c:v>
                </c:pt>
                <c:pt idx="28">
                  <c:v>3-①绑柱筋</c:v>
                </c:pt>
                <c:pt idx="29">
                  <c:v>3-①支柱模</c:v>
                </c:pt>
                <c:pt idx="30">
                  <c:v>3-①支梁板模</c:v>
                </c:pt>
                <c:pt idx="31">
                  <c:v>3-①绑梁板筋</c:v>
                </c:pt>
                <c:pt idx="32">
                  <c:v>3-①浇柱</c:v>
                </c:pt>
                <c:pt idx="33">
                  <c:v>3-①浇梁板</c:v>
                </c:pt>
                <c:pt idx="34">
                  <c:v>3-①拆模</c:v>
                </c:pt>
                <c:pt idx="35">
                  <c:v>3-②绑柱筋</c:v>
                </c:pt>
                <c:pt idx="36">
                  <c:v>3-②支柱模</c:v>
                </c:pt>
                <c:pt idx="37">
                  <c:v>3-②支梁板模</c:v>
                </c:pt>
                <c:pt idx="38">
                  <c:v>3-②绑梁板筋</c:v>
                </c:pt>
                <c:pt idx="39">
                  <c:v>3-②浇柱</c:v>
                </c:pt>
                <c:pt idx="40">
                  <c:v>3-②浇梁板</c:v>
                </c:pt>
                <c:pt idx="41">
                  <c:v>3-②拆模</c:v>
                </c:pt>
                <c:pt idx="42">
                  <c:v>4-①绑柱筋</c:v>
                </c:pt>
                <c:pt idx="43">
                  <c:v>4-①支柱模</c:v>
                </c:pt>
                <c:pt idx="44">
                  <c:v>4-①支梁板模</c:v>
                </c:pt>
                <c:pt idx="45">
                  <c:v>4-①绑梁板筋</c:v>
                </c:pt>
                <c:pt idx="46">
                  <c:v>4-①浇柱</c:v>
                </c:pt>
                <c:pt idx="47">
                  <c:v>4-①浇梁板</c:v>
                </c:pt>
                <c:pt idx="48">
                  <c:v>4-①拆模</c:v>
                </c:pt>
                <c:pt idx="49">
                  <c:v>4-②绑柱筋</c:v>
                </c:pt>
                <c:pt idx="50">
                  <c:v>4-②支柱模</c:v>
                </c:pt>
                <c:pt idx="51">
                  <c:v>4-②支梁板模</c:v>
                </c:pt>
                <c:pt idx="52">
                  <c:v>4-②绑梁板筋</c:v>
                </c:pt>
                <c:pt idx="53">
                  <c:v>4-②浇柱</c:v>
                </c:pt>
                <c:pt idx="54">
                  <c:v>4-②浇梁板</c:v>
                </c:pt>
                <c:pt idx="55">
                  <c:v>4-②拆模</c:v>
                </c:pt>
                <c:pt idx="56">
                  <c:v>5-①绑柱筋</c:v>
                </c:pt>
                <c:pt idx="57">
                  <c:v>5-①支柱模</c:v>
                </c:pt>
                <c:pt idx="58">
                  <c:v>5-①支梁板模</c:v>
                </c:pt>
                <c:pt idx="59">
                  <c:v>5-①绑梁板筋</c:v>
                </c:pt>
                <c:pt idx="60">
                  <c:v>5-①浇柱</c:v>
                </c:pt>
                <c:pt idx="61">
                  <c:v>5-①浇梁板</c:v>
                </c:pt>
                <c:pt idx="62">
                  <c:v>5-①拆模</c:v>
                </c:pt>
                <c:pt idx="63">
                  <c:v>5-②绑柱筋</c:v>
                </c:pt>
                <c:pt idx="64">
                  <c:v>5-②支柱模</c:v>
                </c:pt>
                <c:pt idx="65">
                  <c:v>5-②支梁板模</c:v>
                </c:pt>
                <c:pt idx="66">
                  <c:v>5-②绑梁板筋</c:v>
                </c:pt>
                <c:pt idx="67">
                  <c:v>5-②浇柱</c:v>
                </c:pt>
                <c:pt idx="68">
                  <c:v>5-②浇梁板</c:v>
                </c:pt>
                <c:pt idx="69">
                  <c:v>5-②拆模</c:v>
                </c:pt>
              </c:strCache>
            </c:strRef>
          </c:cat>
          <c:val>
            <c:numRef>
              <c:f>排计划!$D$30:$D$99</c:f>
              <c:numCache>
                <c:formatCode>General</c:formatCode>
                <c:ptCount val="7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3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3</c:v>
                </c:pt>
                <c:pt idx="49">
                  <c:v>1</c:v>
                </c:pt>
                <c:pt idx="50">
                  <c:v>1</c:v>
                </c:pt>
                <c:pt idx="51">
                  <c:v>2</c:v>
                </c:pt>
                <c:pt idx="52">
                  <c:v>2</c:v>
                </c:pt>
                <c:pt idx="53">
                  <c:v>1</c:v>
                </c:pt>
                <c:pt idx="54">
                  <c:v>1</c:v>
                </c:pt>
                <c:pt idx="55">
                  <c:v>2</c:v>
                </c:pt>
                <c:pt idx="56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2</c:v>
                </c:pt>
                <c:pt idx="60">
                  <c:v>1</c:v>
                </c:pt>
                <c:pt idx="61">
                  <c:v>1</c:v>
                </c:pt>
                <c:pt idx="62">
                  <c:v>3</c:v>
                </c:pt>
                <c:pt idx="63">
                  <c:v>1</c:v>
                </c:pt>
                <c:pt idx="64">
                  <c:v>1</c:v>
                </c:pt>
                <c:pt idx="65">
                  <c:v>2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3083680"/>
        <c:axId val="363084240"/>
      </c:barChart>
      <c:scatterChart>
        <c:scatterStyle val="lineMarker"/>
        <c:varyColors val="0"/>
        <c:ser>
          <c:idx val="2"/>
          <c:order val="2"/>
          <c:tx>
            <c:strRef>
              <c:f>排计划!$I$28</c:f>
              <c:strCache>
                <c:ptCount val="1"/>
                <c:pt idx="0">
                  <c:v>人数</c:v>
                </c:pt>
              </c:strCache>
            </c:strRef>
          </c:tx>
          <c:spPr>
            <a:ln w="25400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26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1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2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6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7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0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1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ln>
                      <a:noFill/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排计划!$H$29:$H$101</c:f>
              <c:numCache>
                <c:formatCode>m/d/yyyy</c:formatCode>
                <c:ptCount val="73"/>
                <c:pt idx="0">
                  <c:v>43237</c:v>
                </c:pt>
                <c:pt idx="1">
                  <c:v>43238</c:v>
                </c:pt>
                <c:pt idx="2">
                  <c:v>43239</c:v>
                </c:pt>
                <c:pt idx="3">
                  <c:v>43240</c:v>
                </c:pt>
                <c:pt idx="4">
                  <c:v>43241</c:v>
                </c:pt>
                <c:pt idx="5">
                  <c:v>43242</c:v>
                </c:pt>
                <c:pt idx="6">
                  <c:v>43243</c:v>
                </c:pt>
                <c:pt idx="7">
                  <c:v>43244</c:v>
                </c:pt>
                <c:pt idx="8">
                  <c:v>43245</c:v>
                </c:pt>
                <c:pt idx="9">
                  <c:v>43246</c:v>
                </c:pt>
                <c:pt idx="10">
                  <c:v>43247</c:v>
                </c:pt>
                <c:pt idx="11">
                  <c:v>43248</c:v>
                </c:pt>
                <c:pt idx="12">
                  <c:v>43249</c:v>
                </c:pt>
                <c:pt idx="13">
                  <c:v>43250</c:v>
                </c:pt>
                <c:pt idx="14">
                  <c:v>43251</c:v>
                </c:pt>
                <c:pt idx="15">
                  <c:v>43252</c:v>
                </c:pt>
                <c:pt idx="16">
                  <c:v>43253</c:v>
                </c:pt>
                <c:pt idx="17">
                  <c:v>43254</c:v>
                </c:pt>
                <c:pt idx="18">
                  <c:v>43255</c:v>
                </c:pt>
                <c:pt idx="19">
                  <c:v>43256</c:v>
                </c:pt>
                <c:pt idx="20">
                  <c:v>43257</c:v>
                </c:pt>
                <c:pt idx="21">
                  <c:v>43258</c:v>
                </c:pt>
                <c:pt idx="22">
                  <c:v>43259</c:v>
                </c:pt>
                <c:pt idx="23">
                  <c:v>43260</c:v>
                </c:pt>
                <c:pt idx="24">
                  <c:v>43261</c:v>
                </c:pt>
                <c:pt idx="25">
                  <c:v>43262</c:v>
                </c:pt>
                <c:pt idx="26">
                  <c:v>43263</c:v>
                </c:pt>
                <c:pt idx="27">
                  <c:v>43264</c:v>
                </c:pt>
                <c:pt idx="28">
                  <c:v>43265</c:v>
                </c:pt>
                <c:pt idx="29">
                  <c:v>43266</c:v>
                </c:pt>
                <c:pt idx="30">
                  <c:v>43267</c:v>
                </c:pt>
                <c:pt idx="31">
                  <c:v>43268</c:v>
                </c:pt>
                <c:pt idx="32">
                  <c:v>43269</c:v>
                </c:pt>
                <c:pt idx="33">
                  <c:v>43270</c:v>
                </c:pt>
                <c:pt idx="34">
                  <c:v>43271</c:v>
                </c:pt>
                <c:pt idx="35">
                  <c:v>43272</c:v>
                </c:pt>
                <c:pt idx="36">
                  <c:v>43273</c:v>
                </c:pt>
                <c:pt idx="37">
                  <c:v>43274</c:v>
                </c:pt>
                <c:pt idx="38">
                  <c:v>43275</c:v>
                </c:pt>
                <c:pt idx="39">
                  <c:v>43276</c:v>
                </c:pt>
                <c:pt idx="40">
                  <c:v>43277</c:v>
                </c:pt>
                <c:pt idx="41">
                  <c:v>43278</c:v>
                </c:pt>
                <c:pt idx="42">
                  <c:v>43279</c:v>
                </c:pt>
                <c:pt idx="43">
                  <c:v>43280</c:v>
                </c:pt>
                <c:pt idx="44">
                  <c:v>43281</c:v>
                </c:pt>
                <c:pt idx="45">
                  <c:v>43282</c:v>
                </c:pt>
                <c:pt idx="46">
                  <c:v>43283</c:v>
                </c:pt>
                <c:pt idx="47">
                  <c:v>43284</c:v>
                </c:pt>
                <c:pt idx="48">
                  <c:v>43285</c:v>
                </c:pt>
                <c:pt idx="49">
                  <c:v>43286</c:v>
                </c:pt>
                <c:pt idx="50">
                  <c:v>43287</c:v>
                </c:pt>
                <c:pt idx="51">
                  <c:v>43288</c:v>
                </c:pt>
                <c:pt idx="52">
                  <c:v>43289</c:v>
                </c:pt>
                <c:pt idx="53">
                  <c:v>43290</c:v>
                </c:pt>
                <c:pt idx="54">
                  <c:v>43291</c:v>
                </c:pt>
                <c:pt idx="55">
                  <c:v>43292</c:v>
                </c:pt>
                <c:pt idx="56">
                  <c:v>43293</c:v>
                </c:pt>
                <c:pt idx="57">
                  <c:v>43294</c:v>
                </c:pt>
                <c:pt idx="58">
                  <c:v>43295</c:v>
                </c:pt>
                <c:pt idx="59">
                  <c:v>43296</c:v>
                </c:pt>
                <c:pt idx="60">
                  <c:v>43297</c:v>
                </c:pt>
                <c:pt idx="61">
                  <c:v>43298</c:v>
                </c:pt>
                <c:pt idx="62">
                  <c:v>43299</c:v>
                </c:pt>
                <c:pt idx="63">
                  <c:v>43300</c:v>
                </c:pt>
                <c:pt idx="64">
                  <c:v>43301</c:v>
                </c:pt>
                <c:pt idx="65">
                  <c:v>43302</c:v>
                </c:pt>
                <c:pt idx="66">
                  <c:v>43303</c:v>
                </c:pt>
                <c:pt idx="67">
                  <c:v>43304</c:v>
                </c:pt>
                <c:pt idx="68">
                  <c:v>43305</c:v>
                </c:pt>
                <c:pt idx="69">
                  <c:v>43306</c:v>
                </c:pt>
                <c:pt idx="70">
                  <c:v>43307</c:v>
                </c:pt>
                <c:pt idx="71">
                  <c:v>43308</c:v>
                </c:pt>
                <c:pt idx="72">
                  <c:v>43309</c:v>
                </c:pt>
              </c:numCache>
            </c:numRef>
          </c:xVal>
          <c:yVal>
            <c:numRef>
              <c:f>排计划!$I$29:$I$101</c:f>
              <c:numCache>
                <c:formatCode>General</c:formatCode>
                <c:ptCount val="73"/>
                <c:pt idx="0">
                  <c:v>18</c:v>
                </c:pt>
                <c:pt idx="1">
                  <c:v>53</c:v>
                </c:pt>
                <c:pt idx="2">
                  <c:v>70</c:v>
                </c:pt>
                <c:pt idx="3">
                  <c:v>70</c:v>
                </c:pt>
                <c:pt idx="4">
                  <c:v>37</c:v>
                </c:pt>
                <c:pt idx="5">
                  <c:v>20</c:v>
                </c:pt>
                <c:pt idx="6">
                  <c:v>18</c:v>
                </c:pt>
                <c:pt idx="7">
                  <c:v>25</c:v>
                </c:pt>
                <c:pt idx="8">
                  <c:v>26</c:v>
                </c:pt>
                <c:pt idx="9">
                  <c:v>25</c:v>
                </c:pt>
                <c:pt idx="10">
                  <c:v>0</c:v>
                </c:pt>
                <c:pt idx="11">
                  <c:v>60</c:v>
                </c:pt>
                <c:pt idx="12">
                  <c:v>120</c:v>
                </c:pt>
                <c:pt idx="13">
                  <c:v>60</c:v>
                </c:pt>
                <c:pt idx="14">
                  <c:v>18</c:v>
                </c:pt>
                <c:pt idx="15">
                  <c:v>53</c:v>
                </c:pt>
                <c:pt idx="16">
                  <c:v>70</c:v>
                </c:pt>
                <c:pt idx="17">
                  <c:v>70</c:v>
                </c:pt>
                <c:pt idx="18">
                  <c:v>53</c:v>
                </c:pt>
                <c:pt idx="19">
                  <c:v>36</c:v>
                </c:pt>
                <c:pt idx="20">
                  <c:v>18</c:v>
                </c:pt>
                <c:pt idx="21">
                  <c:v>25</c:v>
                </c:pt>
                <c:pt idx="22">
                  <c:v>50</c:v>
                </c:pt>
                <c:pt idx="23">
                  <c:v>25</c:v>
                </c:pt>
                <c:pt idx="24">
                  <c:v>0</c:v>
                </c:pt>
                <c:pt idx="25">
                  <c:v>60</c:v>
                </c:pt>
                <c:pt idx="26">
                  <c:v>120</c:v>
                </c:pt>
                <c:pt idx="27">
                  <c:v>120</c:v>
                </c:pt>
                <c:pt idx="28">
                  <c:v>0</c:v>
                </c:pt>
                <c:pt idx="29">
                  <c:v>18</c:v>
                </c:pt>
                <c:pt idx="30">
                  <c:v>53</c:v>
                </c:pt>
                <c:pt idx="31">
                  <c:v>70</c:v>
                </c:pt>
                <c:pt idx="32">
                  <c:v>70</c:v>
                </c:pt>
                <c:pt idx="33">
                  <c:v>53</c:v>
                </c:pt>
                <c:pt idx="34">
                  <c:v>36</c:v>
                </c:pt>
                <c:pt idx="35">
                  <c:v>18</c:v>
                </c:pt>
                <c:pt idx="36">
                  <c:v>25</c:v>
                </c:pt>
                <c:pt idx="37">
                  <c:v>50</c:v>
                </c:pt>
                <c:pt idx="38">
                  <c:v>25</c:v>
                </c:pt>
                <c:pt idx="39">
                  <c:v>0</c:v>
                </c:pt>
                <c:pt idx="40">
                  <c:v>60</c:v>
                </c:pt>
                <c:pt idx="41">
                  <c:v>120</c:v>
                </c:pt>
                <c:pt idx="42">
                  <c:v>120</c:v>
                </c:pt>
                <c:pt idx="43">
                  <c:v>0</c:v>
                </c:pt>
                <c:pt idx="44">
                  <c:v>18</c:v>
                </c:pt>
                <c:pt idx="45">
                  <c:v>53</c:v>
                </c:pt>
                <c:pt idx="46">
                  <c:v>70</c:v>
                </c:pt>
                <c:pt idx="47">
                  <c:v>70</c:v>
                </c:pt>
                <c:pt idx="48">
                  <c:v>53</c:v>
                </c:pt>
                <c:pt idx="49">
                  <c:v>36</c:v>
                </c:pt>
                <c:pt idx="50">
                  <c:v>18</c:v>
                </c:pt>
                <c:pt idx="51">
                  <c:v>25</c:v>
                </c:pt>
                <c:pt idx="52">
                  <c:v>50</c:v>
                </c:pt>
                <c:pt idx="53">
                  <c:v>25</c:v>
                </c:pt>
                <c:pt idx="54">
                  <c:v>0</c:v>
                </c:pt>
                <c:pt idx="55">
                  <c:v>60</c:v>
                </c:pt>
                <c:pt idx="56">
                  <c:v>120</c:v>
                </c:pt>
                <c:pt idx="57">
                  <c:v>120</c:v>
                </c:pt>
                <c:pt idx="58">
                  <c:v>0</c:v>
                </c:pt>
                <c:pt idx="59">
                  <c:v>18</c:v>
                </c:pt>
                <c:pt idx="60">
                  <c:v>53</c:v>
                </c:pt>
                <c:pt idx="61">
                  <c:v>70</c:v>
                </c:pt>
                <c:pt idx="62">
                  <c:v>70</c:v>
                </c:pt>
                <c:pt idx="63">
                  <c:v>53</c:v>
                </c:pt>
                <c:pt idx="64">
                  <c:v>36</c:v>
                </c:pt>
                <c:pt idx="65">
                  <c:v>25</c:v>
                </c:pt>
                <c:pt idx="66">
                  <c:v>50</c:v>
                </c:pt>
                <c:pt idx="67">
                  <c:v>25</c:v>
                </c:pt>
                <c:pt idx="68">
                  <c:v>0</c:v>
                </c:pt>
                <c:pt idx="69">
                  <c:v>60</c:v>
                </c:pt>
                <c:pt idx="70">
                  <c:v>120</c:v>
                </c:pt>
                <c:pt idx="71">
                  <c:v>120</c:v>
                </c:pt>
                <c:pt idx="7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3085360"/>
        <c:axId val="363084800"/>
      </c:scatterChart>
      <c:catAx>
        <c:axId val="363083680"/>
        <c:scaling>
          <c:orientation val="maxMin"/>
        </c:scaling>
        <c:delete val="0"/>
        <c:axPos val="l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63084240"/>
        <c:crosses val="autoZero"/>
        <c:auto val="1"/>
        <c:lblAlgn val="ctr"/>
        <c:lblOffset val="100"/>
        <c:noMultiLvlLbl val="0"/>
      </c:catAx>
      <c:valAx>
        <c:axId val="363084240"/>
        <c:scaling>
          <c:orientation val="minMax"/>
          <c:max val="43315"/>
          <c:min val="43235"/>
        </c:scaling>
        <c:delete val="0"/>
        <c:axPos val="t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m/d/yyyy" sourceLinked="1"/>
        <c:majorTickMark val="out"/>
        <c:minorTickMark val="in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63083680"/>
        <c:crosses val="autoZero"/>
        <c:crossBetween val="between"/>
        <c:majorUnit val="5"/>
        <c:minorUnit val="1"/>
      </c:valAx>
      <c:valAx>
        <c:axId val="363084800"/>
        <c:scaling>
          <c:orientation val="minMax"/>
          <c:max val="1200"/>
          <c:min val="-10"/>
        </c:scaling>
        <c:delete val="0"/>
        <c:axPos val="r"/>
        <c:numFmt formatCode="#,##0_);\(#,##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63085360"/>
        <c:crosses val="max"/>
        <c:crossBetween val="midCat"/>
      </c:valAx>
      <c:valAx>
        <c:axId val="3630853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3630848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</a:defRPr>
      </a:pPr>
      <a:endParaRPr lang="zh-CN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3361</xdr:rowOff>
    </xdr:from>
    <xdr:to>
      <xdr:col>33</xdr:col>
      <xdr:colOff>114300</xdr:colOff>
      <xdr:row>68</xdr:row>
      <xdr:rowOff>117972</xdr:rowOff>
    </xdr:to>
    <xdr:grpSp>
      <xdr:nvGrpSpPr>
        <xdr:cNvPr id="7" name="组合 6"/>
        <xdr:cNvGrpSpPr/>
      </xdr:nvGrpSpPr>
      <xdr:grpSpPr>
        <a:xfrm>
          <a:off x="690563" y="170049"/>
          <a:ext cx="21521737" cy="11282673"/>
          <a:chOff x="685800" y="174811"/>
          <a:chExt cx="21374100" cy="11601734"/>
        </a:xfrm>
      </xdr:grpSpPr>
      <xdr:grpSp>
        <xdr:nvGrpSpPr>
          <xdr:cNvPr id="5" name="组合 4"/>
          <xdr:cNvGrpSpPr/>
        </xdr:nvGrpSpPr>
        <xdr:grpSpPr>
          <a:xfrm>
            <a:off x="685800" y="174811"/>
            <a:ext cx="21374100" cy="11579039"/>
            <a:chOff x="680357" y="180254"/>
            <a:chExt cx="21205372" cy="11943710"/>
          </a:xfrm>
        </xdr:grpSpPr>
        <xdr:graphicFrame macro="">
          <xdr:nvGraphicFramePr>
            <xdr:cNvPr id="3" name="图表 2"/>
            <xdr:cNvGraphicFramePr>
              <a:graphicFrameLocks/>
            </xdr:cNvGraphicFramePr>
          </xdr:nvGraphicFramePr>
          <xdr:xfrm>
            <a:off x="680357" y="180254"/>
            <a:ext cx="21205372" cy="1193810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4" name="矩形 3"/>
            <xdr:cNvSpPr/>
          </xdr:nvSpPr>
          <xdr:spPr>
            <a:xfrm>
              <a:off x="704169" y="10640392"/>
              <a:ext cx="20681810" cy="1483572"/>
            </a:xfrm>
            <a:prstGeom prst="rect">
              <a:avLst/>
            </a:prstGeom>
            <a:noFill/>
            <a:ln w="38100">
              <a:solidFill>
                <a:schemeClr val="accent1"/>
              </a:solidFill>
              <a:prstDash val="sysDash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zh-CN" altLang="en-US" sz="1100"/>
            </a:p>
          </xdr:txBody>
        </xdr:sp>
      </xdr:grpSp>
      <xdr:sp macro="" textlink="">
        <xdr:nvSpPr>
          <xdr:cNvPr id="6" name="矩形 5"/>
          <xdr:cNvSpPr/>
        </xdr:nvSpPr>
        <xdr:spPr>
          <a:xfrm>
            <a:off x="689933" y="10295289"/>
            <a:ext cx="809625" cy="1481256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zh-CN" altLang="en-US" sz="1600" b="1"/>
              <a:t>劳动力曲线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2"/>
  <sheetViews>
    <sheetView workbookViewId="0">
      <selection sqref="A1:G1"/>
    </sheetView>
  </sheetViews>
  <sheetFormatPr defaultRowHeight="13.5" x14ac:dyDescent="0.15"/>
  <cols>
    <col min="1" max="1" width="13" style="1" bestFit="1" customWidth="1"/>
    <col min="2" max="2" width="12.75" bestFit="1" customWidth="1"/>
    <col min="5" max="5" width="10.5" bestFit="1" customWidth="1"/>
    <col min="6" max="6" width="9" customWidth="1"/>
  </cols>
  <sheetData>
    <row r="1" spans="1:7" ht="14.25" thickBot="1" x14ac:dyDescent="0.2">
      <c r="A1" s="184" t="s">
        <v>10</v>
      </c>
      <c r="B1" s="184"/>
      <c r="C1" s="184"/>
      <c r="D1" s="184"/>
      <c r="E1" s="184"/>
      <c r="F1" s="184"/>
      <c r="G1" s="184"/>
    </row>
    <row r="2" spans="1:7" x14ac:dyDescent="0.15">
      <c r="A2" s="14" t="s">
        <v>0</v>
      </c>
      <c r="B2" s="187">
        <v>42000</v>
      </c>
      <c r="C2" s="188"/>
      <c r="D2" s="191" t="s">
        <v>5</v>
      </c>
      <c r="E2" s="187"/>
      <c r="F2" s="187"/>
      <c r="G2" s="188"/>
    </row>
    <row r="3" spans="1:7" x14ac:dyDescent="0.15">
      <c r="A3" s="17" t="s">
        <v>1</v>
      </c>
      <c r="B3" s="189">
        <v>15900</v>
      </c>
      <c r="C3" s="190"/>
      <c r="D3" s="6">
        <v>0.3</v>
      </c>
      <c r="E3" s="4">
        <v>0.1</v>
      </c>
      <c r="F3" s="4">
        <v>0.3</v>
      </c>
      <c r="G3" s="7">
        <v>0.1</v>
      </c>
    </row>
    <row r="4" spans="1:7" ht="16.5" x14ac:dyDescent="0.15">
      <c r="A4" s="17" t="s">
        <v>4</v>
      </c>
      <c r="B4" s="189">
        <v>2500</v>
      </c>
      <c r="C4" s="190"/>
      <c r="D4" s="17" t="s">
        <v>23</v>
      </c>
      <c r="E4" s="189">
        <f>((B2+2*(C5+C6+C7))*(B3+2*(C5+C6+C7)))/10^6</f>
        <v>787.6</v>
      </c>
      <c r="F4" s="189"/>
      <c r="G4" s="190"/>
    </row>
    <row r="5" spans="1:7" ht="16.5" x14ac:dyDescent="0.15">
      <c r="A5" s="17" t="s">
        <v>7</v>
      </c>
      <c r="B5" s="4" t="s">
        <v>2</v>
      </c>
      <c r="C5" s="7">
        <f>IF(B5="一类土",100,IF(B5="二类土",0," "))</f>
        <v>100</v>
      </c>
      <c r="D5" s="17" t="s">
        <v>24</v>
      </c>
      <c r="E5" s="189">
        <f>(((B2+2*(C5+C6+C7))+1/2*B4*F3+1/2*B4*G3)*((B3+2*(C5+C6+C7))+1/2*B4*D3+1/2*B4*E3))/10^6</f>
        <v>818.8</v>
      </c>
      <c r="F5" s="189"/>
      <c r="G5" s="190"/>
    </row>
    <row r="6" spans="1:7" ht="16.5" x14ac:dyDescent="0.15">
      <c r="A6" s="17" t="s">
        <v>8</v>
      </c>
      <c r="B6" s="4" t="s">
        <v>29</v>
      </c>
      <c r="C6" s="7">
        <f>IF(B6="一类",400,IF(B6="二类",500,""))</f>
        <v>500</v>
      </c>
      <c r="D6" s="17" t="s">
        <v>25</v>
      </c>
      <c r="E6" s="189">
        <f>(((B2+2*(C5+C6+C7))+B4*F3+B4*G3)*((B3+2*(C5+C6+C7))+B4*D3+B4*E3))/10^6</f>
        <v>850.5</v>
      </c>
      <c r="F6" s="189"/>
      <c r="G6" s="190"/>
    </row>
    <row r="7" spans="1:7" ht="14.25" thickBot="1" x14ac:dyDescent="0.2">
      <c r="A7" s="18" t="s">
        <v>9</v>
      </c>
      <c r="B7" s="8" t="s">
        <v>3</v>
      </c>
      <c r="C7" s="9">
        <f>IF(B7="砌墙",100,IF(B7="混凝土",400,IF(B7="外防水",800,"")))</f>
        <v>400</v>
      </c>
      <c r="D7" s="19" t="s">
        <v>6</v>
      </c>
      <c r="E7" s="193">
        <f>1/6*(E4+4*E5+E6)</f>
        <v>818.88333333333321</v>
      </c>
      <c r="F7" s="193"/>
      <c r="G7" s="194"/>
    </row>
    <row r="8" spans="1:7" x14ac:dyDescent="0.15">
      <c r="D8" s="3"/>
      <c r="E8" s="3"/>
      <c r="F8" s="3"/>
      <c r="G8" s="3"/>
    </row>
    <row r="9" spans="1:7" x14ac:dyDescent="0.15">
      <c r="D9" s="3"/>
      <c r="E9" s="3"/>
      <c r="F9" s="3"/>
      <c r="G9" s="3"/>
    </row>
    <row r="10" spans="1:7" ht="14.25" thickBot="1" x14ac:dyDescent="0.2">
      <c r="A10" s="184" t="s">
        <v>11</v>
      </c>
      <c r="B10" s="184"/>
      <c r="C10" s="184"/>
      <c r="D10" s="184"/>
      <c r="E10" s="184"/>
      <c r="F10" s="3"/>
      <c r="G10" s="3"/>
    </row>
    <row r="11" spans="1:7" x14ac:dyDescent="0.15">
      <c r="A11" s="14" t="s">
        <v>16</v>
      </c>
      <c r="B11" s="15" t="s">
        <v>13</v>
      </c>
      <c r="C11" s="15" t="s">
        <v>14</v>
      </c>
      <c r="D11" s="15" t="s">
        <v>15</v>
      </c>
      <c r="E11" s="16" t="s">
        <v>18</v>
      </c>
      <c r="F11" s="3"/>
      <c r="G11" s="3"/>
    </row>
    <row r="12" spans="1:7" x14ac:dyDescent="0.15">
      <c r="A12" s="185" t="s">
        <v>12</v>
      </c>
      <c r="B12" s="4">
        <v>6700</v>
      </c>
      <c r="C12" s="4">
        <v>4000</v>
      </c>
      <c r="D12" s="4">
        <v>100</v>
      </c>
      <c r="E12" s="190">
        <v>7</v>
      </c>
    </row>
    <row r="13" spans="1:7" x14ac:dyDescent="0.15">
      <c r="A13" s="185"/>
      <c r="B13" s="4">
        <v>6500</v>
      </c>
      <c r="C13" s="4">
        <v>3800</v>
      </c>
      <c r="D13" s="4">
        <v>300</v>
      </c>
      <c r="E13" s="190"/>
    </row>
    <row r="14" spans="1:7" x14ac:dyDescent="0.15">
      <c r="A14" s="185"/>
      <c r="B14" s="4">
        <v>4900</v>
      </c>
      <c r="C14" s="4">
        <v>2200</v>
      </c>
      <c r="D14" s="4">
        <v>350</v>
      </c>
      <c r="E14" s="190"/>
    </row>
    <row r="15" spans="1:7" x14ac:dyDescent="0.15">
      <c r="A15" s="185"/>
      <c r="B15" s="4">
        <v>600</v>
      </c>
      <c r="C15" s="4">
        <v>600</v>
      </c>
      <c r="D15" s="4">
        <f>B4-SUM(D12:D14)</f>
        <v>1750</v>
      </c>
      <c r="E15" s="190"/>
    </row>
    <row r="16" spans="1:7" x14ac:dyDescent="0.15">
      <c r="A16" s="185"/>
      <c r="B16" s="186">
        <f>(SUMPRODUCT(B12:B14,C12:C14,D12:D14)+2*PRODUCT(B15:D15))/10^9</f>
        <v>15.122999999999999</v>
      </c>
      <c r="C16" s="186"/>
      <c r="D16" s="186"/>
      <c r="E16" s="190"/>
    </row>
    <row r="17" spans="1:6" x14ac:dyDescent="0.15">
      <c r="A17" s="185" t="s">
        <v>17</v>
      </c>
      <c r="B17" s="5">
        <v>3900</v>
      </c>
      <c r="C17" s="5">
        <v>3900</v>
      </c>
      <c r="D17" s="5">
        <v>100</v>
      </c>
      <c r="E17" s="190">
        <v>14</v>
      </c>
    </row>
    <row r="18" spans="1:6" x14ac:dyDescent="0.15">
      <c r="A18" s="185"/>
      <c r="B18" s="5">
        <v>3700</v>
      </c>
      <c r="C18" s="5">
        <v>3700</v>
      </c>
      <c r="D18" s="5">
        <v>300</v>
      </c>
      <c r="E18" s="190"/>
    </row>
    <row r="19" spans="1:6" x14ac:dyDescent="0.15">
      <c r="A19" s="185"/>
      <c r="B19" s="5">
        <v>2100</v>
      </c>
      <c r="C19" s="5">
        <v>2100</v>
      </c>
      <c r="D19" s="5">
        <v>350</v>
      </c>
      <c r="E19" s="190"/>
    </row>
    <row r="20" spans="1:6" x14ac:dyDescent="0.15">
      <c r="A20" s="185"/>
      <c r="B20" s="5">
        <v>600</v>
      </c>
      <c r="C20" s="5">
        <v>600</v>
      </c>
      <c r="D20" s="4">
        <f>B4-SUM(D17:D19)</f>
        <v>1750</v>
      </c>
      <c r="E20" s="190"/>
    </row>
    <row r="21" spans="1:6" x14ac:dyDescent="0.15">
      <c r="A21" s="185"/>
      <c r="B21" s="186">
        <f>SUMPRODUCT(B17:B20,C17:C20,D17:D20)/10^9</f>
        <v>7.8014999999999999</v>
      </c>
      <c r="C21" s="186"/>
      <c r="D21" s="186"/>
      <c r="E21" s="190"/>
    </row>
    <row r="22" spans="1:6" ht="14.25" thickBot="1" x14ac:dyDescent="0.2">
      <c r="A22" s="18" t="s">
        <v>19</v>
      </c>
      <c r="B22" s="193">
        <f>B16*E12+B21*E17</f>
        <v>215.08199999999999</v>
      </c>
      <c r="C22" s="193"/>
      <c r="D22" s="193"/>
      <c r="E22" s="194"/>
    </row>
    <row r="25" spans="1:6" ht="14.25" thickBot="1" x14ac:dyDescent="0.2">
      <c r="A25" s="195" t="s">
        <v>20</v>
      </c>
      <c r="B25" s="195"/>
      <c r="C25" s="195"/>
      <c r="D25" s="195"/>
    </row>
    <row r="26" spans="1:6" ht="16.5" x14ac:dyDescent="0.15">
      <c r="A26" s="14" t="s">
        <v>26</v>
      </c>
      <c r="B26" s="11">
        <v>1.26</v>
      </c>
      <c r="C26" s="15" t="s">
        <v>21</v>
      </c>
      <c r="D26" s="15" t="s">
        <v>22</v>
      </c>
      <c r="E26" s="16" t="s">
        <v>28</v>
      </c>
    </row>
    <row r="27" spans="1:6" ht="17.25" thickBot="1" x14ac:dyDescent="0.2">
      <c r="A27" s="18" t="s">
        <v>27</v>
      </c>
      <c r="B27" s="8">
        <v>1.06</v>
      </c>
      <c r="C27" s="12">
        <f>B26*E7</f>
        <v>1031.7929999999999</v>
      </c>
      <c r="D27" s="12">
        <f>(E7-B22)/B27*B26</f>
        <v>717.72611320754697</v>
      </c>
      <c r="E27" s="13">
        <f>C27-D27</f>
        <v>314.06688679245292</v>
      </c>
    </row>
    <row r="29" spans="1:6" x14ac:dyDescent="0.15">
      <c r="A29" s="2"/>
    </row>
    <row r="30" spans="1:6" ht="14.25" thickBot="1" x14ac:dyDescent="0.2">
      <c r="A30" s="192" t="s">
        <v>34</v>
      </c>
      <c r="B30" s="192"/>
      <c r="C30" s="192"/>
      <c r="D30" s="192"/>
      <c r="E30" s="192"/>
    </row>
    <row r="31" spans="1:6" x14ac:dyDescent="0.15">
      <c r="A31" s="14" t="s">
        <v>35</v>
      </c>
      <c r="B31" s="15" t="s">
        <v>30</v>
      </c>
      <c r="C31" s="15" t="s">
        <v>31</v>
      </c>
      <c r="D31" s="15" t="s">
        <v>36</v>
      </c>
      <c r="E31" s="15" t="s">
        <v>32</v>
      </c>
      <c r="F31" s="21" t="s">
        <v>33</v>
      </c>
    </row>
    <row r="32" spans="1:6" ht="14.25" thickBot="1" x14ac:dyDescent="0.2">
      <c r="A32" s="20">
        <v>25</v>
      </c>
      <c r="B32" s="8">
        <v>20</v>
      </c>
      <c r="C32" s="8">
        <v>2.6</v>
      </c>
      <c r="D32" s="8">
        <f>(B32/C32)/A32</f>
        <v>0.30769230769230765</v>
      </c>
      <c r="E32" s="8">
        <f>ROUNDUP((C27/A32)/D32,0)</f>
        <v>135</v>
      </c>
      <c r="F32" s="10">
        <f>ROUNDUP(E32/(8/D32),0)</f>
        <v>6</v>
      </c>
    </row>
  </sheetData>
  <mergeCells count="19">
    <mergeCell ref="A17:A21"/>
    <mergeCell ref="E12:E16"/>
    <mergeCell ref="E17:E21"/>
    <mergeCell ref="A30:E30"/>
    <mergeCell ref="E5:G5"/>
    <mergeCell ref="E6:G6"/>
    <mergeCell ref="E7:G7"/>
    <mergeCell ref="B22:E22"/>
    <mergeCell ref="A25:D25"/>
    <mergeCell ref="B21:D21"/>
    <mergeCell ref="A1:G1"/>
    <mergeCell ref="A12:A16"/>
    <mergeCell ref="B16:D16"/>
    <mergeCell ref="B2:C2"/>
    <mergeCell ref="B3:C3"/>
    <mergeCell ref="B4:C4"/>
    <mergeCell ref="D2:G2"/>
    <mergeCell ref="E4:G4"/>
    <mergeCell ref="A10:E10"/>
  </mergeCells>
  <phoneticPr fontId="1" type="noConversion"/>
  <dataValidations count="3">
    <dataValidation type="list" allowBlank="1" showInputMessage="1" showErrorMessage="1" sqref="B5">
      <formula1>"一类土,二类土"</formula1>
    </dataValidation>
    <dataValidation type="list" allowBlank="1" showInputMessage="1" showErrorMessage="1" sqref="B7">
      <formula1>"砌墙,混凝土,外防水"</formula1>
    </dataValidation>
    <dataValidation type="list" allowBlank="1" showInputMessage="1" showErrorMessage="1" sqref="B6">
      <formula1>"一类,二类"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sqref="A1:G1"/>
    </sheetView>
  </sheetViews>
  <sheetFormatPr defaultRowHeight="13.5" x14ac:dyDescent="0.15"/>
  <cols>
    <col min="2" max="3" width="9" style="24"/>
    <col min="4" max="4" width="12.25" style="24" bestFit="1" customWidth="1"/>
    <col min="5" max="7" width="9" style="24"/>
  </cols>
  <sheetData>
    <row r="1" spans="1:7" ht="14.25" thickBot="1" x14ac:dyDescent="0.2">
      <c r="A1" s="196" t="s">
        <v>47</v>
      </c>
      <c r="B1" s="196"/>
      <c r="C1" s="196"/>
      <c r="D1" s="196"/>
      <c r="E1" s="196"/>
      <c r="F1" s="196"/>
      <c r="G1" s="196"/>
    </row>
    <row r="2" spans="1:7" x14ac:dyDescent="0.15">
      <c r="A2" s="29" t="s">
        <v>40</v>
      </c>
      <c r="B2" s="15" t="s">
        <v>39</v>
      </c>
      <c r="C2" s="15" t="s">
        <v>68</v>
      </c>
      <c r="D2" s="15" t="s">
        <v>44</v>
      </c>
      <c r="E2" s="15" t="s">
        <v>38</v>
      </c>
      <c r="F2" s="15" t="s">
        <v>43</v>
      </c>
      <c r="G2" s="21" t="s">
        <v>45</v>
      </c>
    </row>
    <row r="3" spans="1:7" x14ac:dyDescent="0.15">
      <c r="A3" s="197" t="s">
        <v>41</v>
      </c>
      <c r="B3" s="22">
        <v>1</v>
      </c>
      <c r="C3" s="22">
        <v>22</v>
      </c>
      <c r="D3" s="22">
        <v>2213.64</v>
      </c>
      <c r="E3" s="22">
        <v>8</v>
      </c>
      <c r="F3" s="22">
        <f>土方开挖!$E$12*基础钢筋量!E3</f>
        <v>56</v>
      </c>
      <c r="G3" s="23">
        <f>F3*(C3/10)^2*0.617*D3/1000</f>
        <v>370.19073611519997</v>
      </c>
    </row>
    <row r="4" spans="1:7" x14ac:dyDescent="0.15">
      <c r="A4" s="197"/>
      <c r="B4" s="22">
        <v>2</v>
      </c>
      <c r="C4" s="22">
        <v>22</v>
      </c>
      <c r="D4" s="22">
        <v>1223.6394</v>
      </c>
      <c r="E4" s="22">
        <v>16</v>
      </c>
      <c r="F4" s="22">
        <f>土方开挖!$E$12*基础钢筋量!E4</f>
        <v>112</v>
      </c>
      <c r="G4" s="23">
        <f t="shared" ref="G4:G15" si="0">F4*(C4/10)^2*0.617*D4/1000</f>
        <v>409.26254515238401</v>
      </c>
    </row>
    <row r="5" spans="1:7" x14ac:dyDescent="0.15">
      <c r="A5" s="197"/>
      <c r="B5" s="22">
        <v>3</v>
      </c>
      <c r="C5" s="22">
        <v>8</v>
      </c>
      <c r="D5" s="22">
        <v>2160</v>
      </c>
      <c r="E5" s="22">
        <v>4</v>
      </c>
      <c r="F5" s="22">
        <f>土方开挖!$E$12*基础钢筋量!E5</f>
        <v>28</v>
      </c>
      <c r="G5" s="23">
        <f t="shared" si="0"/>
        <v>23.882342400000006</v>
      </c>
    </row>
    <row r="6" spans="1:7" x14ac:dyDescent="0.15">
      <c r="A6" s="197"/>
      <c r="B6" s="22">
        <v>4</v>
      </c>
      <c r="C6" s="22">
        <v>16</v>
      </c>
      <c r="D6" s="22">
        <v>3770.7071700000001</v>
      </c>
      <c r="E6" s="22">
        <v>6</v>
      </c>
      <c r="F6" s="22">
        <f>土方开挖!$E$12*基础钢筋量!E6</f>
        <v>42</v>
      </c>
      <c r="G6" s="23">
        <f t="shared" si="0"/>
        <v>250.14811034465285</v>
      </c>
    </row>
    <row r="7" spans="1:7" x14ac:dyDescent="0.15">
      <c r="A7" s="197"/>
      <c r="B7" s="22">
        <v>5</v>
      </c>
      <c r="C7" s="22">
        <v>12</v>
      </c>
      <c r="D7" s="22">
        <v>3770.7071700000001</v>
      </c>
      <c r="E7" s="22">
        <f>ROUNDUP((土方开挖!B13-2*2*180)/140,0)</f>
        <v>42</v>
      </c>
      <c r="F7" s="22">
        <f>土方开挖!$E$12*基础钢筋量!E7</f>
        <v>294</v>
      </c>
      <c r="G7" s="23">
        <f t="shared" si="0"/>
        <v>984.95818448207024</v>
      </c>
    </row>
    <row r="8" spans="1:7" x14ac:dyDescent="0.15">
      <c r="A8" s="197"/>
      <c r="B8" s="22">
        <v>6</v>
      </c>
      <c r="C8" s="22">
        <v>16</v>
      </c>
      <c r="D8" s="22">
        <v>6333.34</v>
      </c>
      <c r="E8" s="22">
        <v>6</v>
      </c>
      <c r="F8" s="22">
        <f>土方开挖!$E$12*基础钢筋量!E8</f>
        <v>42</v>
      </c>
      <c r="G8" s="23">
        <f t="shared" si="0"/>
        <v>420.15276226560007</v>
      </c>
    </row>
    <row r="9" spans="1:7" x14ac:dyDescent="0.15">
      <c r="A9" s="197"/>
      <c r="B9" s="22">
        <v>7</v>
      </c>
      <c r="C9" s="22">
        <v>12</v>
      </c>
      <c r="D9" s="22">
        <v>6333.34</v>
      </c>
      <c r="E9" s="22">
        <f>ROUNDUP((土方开挖!C13-2*2*130)/100,0)</f>
        <v>33</v>
      </c>
      <c r="F9" s="22">
        <f>土方开挖!$E$12*基础钢筋量!E9</f>
        <v>231</v>
      </c>
      <c r="G9" s="23">
        <f t="shared" si="0"/>
        <v>1299.8476082591999</v>
      </c>
    </row>
    <row r="10" spans="1:7" x14ac:dyDescent="0.15">
      <c r="A10" s="197" t="s">
        <v>42</v>
      </c>
      <c r="B10" s="22">
        <v>1</v>
      </c>
      <c r="C10" s="22">
        <v>18</v>
      </c>
      <c r="D10" s="22">
        <v>2213.6388299999999</v>
      </c>
      <c r="E10" s="22">
        <v>4</v>
      </c>
      <c r="F10" s="22">
        <f>土方开挖!$E$17*基础钢筋量!E10</f>
        <v>56</v>
      </c>
      <c r="G10" s="23">
        <f t="shared" si="0"/>
        <v>247.8135022874784</v>
      </c>
    </row>
    <row r="11" spans="1:7" x14ac:dyDescent="0.15">
      <c r="A11" s="197"/>
      <c r="B11" s="22">
        <v>2</v>
      </c>
      <c r="C11" s="22">
        <v>18</v>
      </c>
      <c r="D11" s="22">
        <v>1223.6394</v>
      </c>
      <c r="E11" s="22">
        <v>8</v>
      </c>
      <c r="F11" s="22">
        <f>土方开挖!$E$17*基础钢筋量!E11</f>
        <v>112</v>
      </c>
      <c r="G11" s="23">
        <f t="shared" si="0"/>
        <v>273.96914179622399</v>
      </c>
    </row>
    <row r="12" spans="1:7" x14ac:dyDescent="0.15">
      <c r="A12" s="197"/>
      <c r="B12" s="22">
        <v>3</v>
      </c>
      <c r="C12" s="22">
        <v>8</v>
      </c>
      <c r="D12" s="22">
        <v>2160</v>
      </c>
      <c r="E12" s="22">
        <v>2</v>
      </c>
      <c r="F12" s="22">
        <f>土方开挖!$E$17*基础钢筋量!E12</f>
        <v>28</v>
      </c>
      <c r="G12" s="23">
        <f t="shared" si="0"/>
        <v>23.882342400000006</v>
      </c>
    </row>
    <row r="13" spans="1:7" x14ac:dyDescent="0.15">
      <c r="A13" s="197"/>
      <c r="B13" s="22">
        <v>4</v>
      </c>
      <c r="C13" s="22">
        <v>12</v>
      </c>
      <c r="D13" s="22">
        <v>3300.7087799999999</v>
      </c>
      <c r="E13" s="22">
        <v>6</v>
      </c>
      <c r="F13" s="22">
        <f>土方开挖!$E$17*基础钢筋量!E13</f>
        <v>84</v>
      </c>
      <c r="G13" s="23">
        <f t="shared" si="0"/>
        <v>246.33955389576957</v>
      </c>
    </row>
    <row r="14" spans="1:7" x14ac:dyDescent="0.15">
      <c r="A14" s="197"/>
      <c r="B14" s="22">
        <v>5</v>
      </c>
      <c r="C14" s="22">
        <v>12</v>
      </c>
      <c r="D14" s="22">
        <v>3533.3319999999999</v>
      </c>
      <c r="E14" s="22">
        <v>6</v>
      </c>
      <c r="F14" s="22">
        <f>土方开挖!$E$17*基础钢筋量!E14</f>
        <v>84</v>
      </c>
      <c r="G14" s="23">
        <f t="shared" si="0"/>
        <v>263.70076449023998</v>
      </c>
    </row>
    <row r="15" spans="1:7" x14ac:dyDescent="0.15">
      <c r="A15" s="197"/>
      <c r="B15" s="22">
        <v>6</v>
      </c>
      <c r="C15" s="22">
        <v>20</v>
      </c>
      <c r="D15" s="22">
        <v>3300.7087799999999</v>
      </c>
      <c r="E15" s="22">
        <f>2*ROUNDUP((土方开挖!B18-2*2*180)/200,0)</f>
        <v>30</v>
      </c>
      <c r="F15" s="22">
        <f>土方开挖!$E$17*基础钢筋量!E15</f>
        <v>420</v>
      </c>
      <c r="G15" s="23">
        <f t="shared" si="0"/>
        <v>3421.3826929968</v>
      </c>
    </row>
    <row r="16" spans="1:7" x14ac:dyDescent="0.15">
      <c r="A16" s="197" t="s">
        <v>46</v>
      </c>
      <c r="B16" s="198"/>
      <c r="C16" s="198"/>
      <c r="D16" s="198"/>
      <c r="E16" s="198"/>
      <c r="F16" s="198"/>
      <c r="G16" s="199"/>
    </row>
    <row r="17" spans="1:7" x14ac:dyDescent="0.15">
      <c r="A17" s="30" t="s">
        <v>37</v>
      </c>
      <c r="B17" s="28">
        <v>8</v>
      </c>
      <c r="C17" s="28">
        <v>12</v>
      </c>
      <c r="D17" s="28">
        <v>16</v>
      </c>
      <c r="E17" s="28">
        <v>18</v>
      </c>
      <c r="F17" s="28">
        <v>20</v>
      </c>
      <c r="G17" s="31">
        <v>22</v>
      </c>
    </row>
    <row r="18" spans="1:7" ht="14.25" thickBot="1" x14ac:dyDescent="0.2">
      <c r="A18" s="18" t="s">
        <v>45</v>
      </c>
      <c r="B18" s="8">
        <f>SUMIFS(G3:G15,C3:C15,8)</f>
        <v>47.764684800000012</v>
      </c>
      <c r="C18" s="8">
        <f>SUMIFS(G3:G15,C3:C15,12)</f>
        <v>2794.84611112728</v>
      </c>
      <c r="D18" s="8">
        <f>SUMIFS(G3:G15,C3:C15,16)</f>
        <v>670.3008726102529</v>
      </c>
      <c r="E18" s="8">
        <f>SUMIFS(G3:G15,C3:C15,18)</f>
        <v>521.78264408370239</v>
      </c>
      <c r="F18" s="8">
        <f>SUMIFS(G3:G15,C3:C15,20)</f>
        <v>3421.3826929968</v>
      </c>
      <c r="G18" s="9">
        <f>SUMIFS(G3:G15,C3:C15,22)</f>
        <v>779.45328126758398</v>
      </c>
    </row>
  </sheetData>
  <mergeCells count="4">
    <mergeCell ref="A1:G1"/>
    <mergeCell ref="A3:A9"/>
    <mergeCell ref="A10:A15"/>
    <mergeCell ref="A16:G16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04"/>
  <sheetViews>
    <sheetView workbookViewId="0">
      <selection sqref="A1:B1"/>
    </sheetView>
  </sheetViews>
  <sheetFormatPr defaultRowHeight="13.5" x14ac:dyDescent="0.15"/>
  <cols>
    <col min="1" max="1" width="8.125" style="26" bestFit="1" customWidth="1"/>
    <col min="2" max="2" width="9" style="26"/>
    <col min="3" max="6" width="5.75" style="26" bestFit="1" customWidth="1"/>
    <col min="7" max="8" width="9" style="26"/>
    <col min="9" max="9" width="13" style="26" bestFit="1" customWidth="1"/>
    <col min="10" max="10" width="5.75" style="26" bestFit="1" customWidth="1"/>
    <col min="11" max="11" width="9.75" style="26" bestFit="1" customWidth="1"/>
    <col min="12" max="12" width="9.75" style="26" customWidth="1"/>
    <col min="13" max="13" width="13" style="26" customWidth="1"/>
    <col min="14" max="14" width="12.75" style="26" bestFit="1" customWidth="1"/>
    <col min="15" max="15" width="14.25" style="26" bestFit="1" customWidth="1"/>
    <col min="16" max="16" width="16.875" style="26" bestFit="1" customWidth="1"/>
    <col min="17" max="17" width="9" style="26"/>
    <col min="18" max="18" width="9" style="94"/>
    <col min="19" max="16384" width="9" style="26"/>
  </cols>
  <sheetData>
    <row r="1" spans="1:18" ht="28.5" customHeight="1" thickBot="1" x14ac:dyDescent="0.2">
      <c r="A1" s="206" t="s">
        <v>83</v>
      </c>
      <c r="B1" s="206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27"/>
      <c r="O1" s="27"/>
    </row>
    <row r="2" spans="1:18" ht="16.5" thickBot="1" x14ac:dyDescent="0.2">
      <c r="A2" s="33" t="s">
        <v>48</v>
      </c>
      <c r="B2" s="33" t="s">
        <v>82</v>
      </c>
      <c r="C2" s="34" t="s">
        <v>62</v>
      </c>
      <c r="D2" s="34" t="s">
        <v>52</v>
      </c>
      <c r="E2" s="34" t="s">
        <v>50</v>
      </c>
      <c r="F2" s="34" t="s">
        <v>51</v>
      </c>
      <c r="G2" s="35" t="s">
        <v>39</v>
      </c>
      <c r="H2" s="35" t="s">
        <v>68</v>
      </c>
      <c r="I2" s="35" t="s">
        <v>44</v>
      </c>
      <c r="J2" s="35" t="s">
        <v>38</v>
      </c>
      <c r="K2" s="35" t="s">
        <v>63</v>
      </c>
      <c r="L2" s="36" t="s">
        <v>64</v>
      </c>
      <c r="M2" s="37" t="s">
        <v>78</v>
      </c>
      <c r="N2" s="37" t="s">
        <v>79</v>
      </c>
      <c r="O2" s="37" t="s">
        <v>80</v>
      </c>
      <c r="P2" s="37" t="s">
        <v>81</v>
      </c>
      <c r="Q2" s="71" t="s">
        <v>182</v>
      </c>
      <c r="R2" s="71" t="s">
        <v>183</v>
      </c>
    </row>
    <row r="3" spans="1:18" x14ac:dyDescent="0.15">
      <c r="A3" s="204" t="s">
        <v>65</v>
      </c>
      <c r="B3" s="202" t="s">
        <v>49</v>
      </c>
      <c r="C3" s="202">
        <v>1</v>
      </c>
      <c r="D3" s="202">
        <v>3600</v>
      </c>
      <c r="E3" s="202">
        <v>600</v>
      </c>
      <c r="F3" s="202">
        <v>600</v>
      </c>
      <c r="G3" s="32">
        <v>1</v>
      </c>
      <c r="H3" s="32">
        <v>18</v>
      </c>
      <c r="I3" s="32">
        <f>D3</f>
        <v>3600</v>
      </c>
      <c r="J3" s="32">
        <v>4</v>
      </c>
      <c r="K3" s="32">
        <f>J3</f>
        <v>4</v>
      </c>
      <c r="L3" s="32">
        <f>$C$3*K3</f>
        <v>4</v>
      </c>
      <c r="M3" s="32">
        <f>K3*(H3/10)^2*0.617*I3/1000</f>
        <v>28.786752000000003</v>
      </c>
      <c r="N3" s="200">
        <f>SUM(M3:M8)</f>
        <v>251.67321408000006</v>
      </c>
      <c r="O3" s="200">
        <f>PRODUCT(D3:F8)/10^9</f>
        <v>1.296</v>
      </c>
      <c r="P3" s="200">
        <f>2*(D3*E3+D3*F3)/10^6</f>
        <v>8.64</v>
      </c>
      <c r="Q3" s="189">
        <v>1</v>
      </c>
      <c r="R3" s="189"/>
    </row>
    <row r="4" spans="1:18" x14ac:dyDescent="0.15">
      <c r="A4" s="205"/>
      <c r="B4" s="189"/>
      <c r="C4" s="189"/>
      <c r="D4" s="189"/>
      <c r="E4" s="189"/>
      <c r="F4" s="189"/>
      <c r="G4" s="25">
        <v>2</v>
      </c>
      <c r="H4" s="25">
        <v>18</v>
      </c>
      <c r="I4" s="25">
        <f>D3</f>
        <v>3600</v>
      </c>
      <c r="J4" s="25">
        <v>10</v>
      </c>
      <c r="K4" s="25">
        <f>J4</f>
        <v>10</v>
      </c>
      <c r="L4" s="25">
        <f t="shared" ref="L4:L8" si="0">$C$3*K4</f>
        <v>10</v>
      </c>
      <c r="M4" s="25">
        <f t="shared" ref="M4:M67" si="1">K4*(H4/10)^2*0.617*I4/1000</f>
        <v>71.966880000000018</v>
      </c>
      <c r="N4" s="201"/>
      <c r="O4" s="201"/>
      <c r="P4" s="201"/>
      <c r="Q4" s="189"/>
      <c r="R4" s="189"/>
    </row>
    <row r="5" spans="1:18" x14ac:dyDescent="0.15">
      <c r="A5" s="205"/>
      <c r="B5" s="189"/>
      <c r="C5" s="189"/>
      <c r="D5" s="189"/>
      <c r="E5" s="189"/>
      <c r="F5" s="189"/>
      <c r="G5" s="25">
        <v>3</v>
      </c>
      <c r="H5" s="25">
        <v>8</v>
      </c>
      <c r="I5" s="25">
        <v>4860</v>
      </c>
      <c r="J5" s="25">
        <v>1</v>
      </c>
      <c r="K5" s="25">
        <f>((ROUNDUP(MAX($E$3,$D$3/6,500)/100,0)+1)*2+IF(($D$3-MAX($E$3,$D$3/6,500))/200=0,INT(($D$3-MAX($E$3,$D$3/6,500))/200)-1,INT(($D$3-MAX($E$3,$D$3/6,500))/200)))*J5</f>
        <v>29</v>
      </c>
      <c r="L5" s="25">
        <f t="shared" si="0"/>
        <v>29</v>
      </c>
      <c r="M5" s="25">
        <f t="shared" si="1"/>
        <v>55.654387200000009</v>
      </c>
      <c r="N5" s="201"/>
      <c r="O5" s="201"/>
      <c r="P5" s="201"/>
      <c r="Q5" s="189"/>
      <c r="R5" s="189"/>
    </row>
    <row r="6" spans="1:18" x14ac:dyDescent="0.15">
      <c r="A6" s="205"/>
      <c r="B6" s="189"/>
      <c r="C6" s="189"/>
      <c r="D6" s="189"/>
      <c r="E6" s="189"/>
      <c r="F6" s="189"/>
      <c r="G6" s="25">
        <v>4</v>
      </c>
      <c r="H6" s="25">
        <v>8</v>
      </c>
      <c r="I6" s="25">
        <v>3324</v>
      </c>
      <c r="J6" s="25">
        <v>1</v>
      </c>
      <c r="K6" s="25">
        <f t="shared" ref="K6:K8" si="2">((ROUNDUP(MAX($E$3,$D$3/6,500)/100,0)+1)*2+IF(($D$3-MAX($E$3,$D$3/6,500))/200=0,INT(($D$3-MAX($E$3,$D$3/6,500))/200)-1,INT(($D$3-MAX($E$3,$D$3/6,500))/200)))*J6</f>
        <v>29</v>
      </c>
      <c r="L6" s="25">
        <f t="shared" si="0"/>
        <v>29</v>
      </c>
      <c r="M6" s="25">
        <f t="shared" si="1"/>
        <v>38.064852480000006</v>
      </c>
      <c r="N6" s="201"/>
      <c r="O6" s="201"/>
      <c r="P6" s="201"/>
      <c r="Q6" s="189"/>
      <c r="R6" s="189"/>
    </row>
    <row r="7" spans="1:18" x14ac:dyDescent="0.15">
      <c r="A7" s="205"/>
      <c r="B7" s="189"/>
      <c r="C7" s="189"/>
      <c r="D7" s="189"/>
      <c r="E7" s="189"/>
      <c r="F7" s="189"/>
      <c r="G7" s="25">
        <v>5</v>
      </c>
      <c r="H7" s="25">
        <v>8</v>
      </c>
      <c r="I7" s="25">
        <v>1500</v>
      </c>
      <c r="J7" s="25">
        <v>1</v>
      </c>
      <c r="K7" s="25">
        <f t="shared" si="2"/>
        <v>29</v>
      </c>
      <c r="L7" s="25">
        <f t="shared" si="0"/>
        <v>29</v>
      </c>
      <c r="M7" s="25">
        <f t="shared" si="1"/>
        <v>17.177280000000003</v>
      </c>
      <c r="N7" s="201"/>
      <c r="O7" s="201"/>
      <c r="P7" s="201"/>
      <c r="Q7" s="189"/>
      <c r="R7" s="189"/>
    </row>
    <row r="8" spans="1:18" x14ac:dyDescent="0.15">
      <c r="A8" s="205"/>
      <c r="B8" s="189"/>
      <c r="C8" s="189"/>
      <c r="D8" s="189"/>
      <c r="E8" s="189"/>
      <c r="F8" s="189"/>
      <c r="G8" s="25">
        <v>6</v>
      </c>
      <c r="H8" s="25">
        <v>8</v>
      </c>
      <c r="I8" s="25">
        <v>3495</v>
      </c>
      <c r="J8" s="25">
        <v>1</v>
      </c>
      <c r="K8" s="25">
        <f t="shared" si="2"/>
        <v>29</v>
      </c>
      <c r="L8" s="25">
        <f t="shared" si="0"/>
        <v>29</v>
      </c>
      <c r="M8" s="25">
        <f t="shared" si="1"/>
        <v>40.023062400000008</v>
      </c>
      <c r="N8" s="202"/>
      <c r="O8" s="202"/>
      <c r="P8" s="202"/>
      <c r="Q8" s="189"/>
      <c r="R8" s="189"/>
    </row>
    <row r="9" spans="1:18" x14ac:dyDescent="0.15">
      <c r="A9" s="205"/>
      <c r="B9" s="189" t="s">
        <v>53</v>
      </c>
      <c r="C9" s="189">
        <v>2</v>
      </c>
      <c r="D9" s="189">
        <v>3600</v>
      </c>
      <c r="E9" s="189">
        <v>600</v>
      </c>
      <c r="F9" s="189">
        <v>600</v>
      </c>
      <c r="G9" s="25">
        <v>1</v>
      </c>
      <c r="H9" s="25">
        <v>20</v>
      </c>
      <c r="I9" s="25">
        <f>D9</f>
        <v>3600</v>
      </c>
      <c r="J9" s="25">
        <v>4</v>
      </c>
      <c r="K9" s="25">
        <f>J9</f>
        <v>4</v>
      </c>
      <c r="L9" s="25">
        <f>$C$9*K9</f>
        <v>8</v>
      </c>
      <c r="M9" s="25">
        <f t="shared" si="1"/>
        <v>35.539199999999994</v>
      </c>
      <c r="N9" s="203">
        <f>SUM(M9:M16)</f>
        <v>255.88618880000001</v>
      </c>
      <c r="O9" s="203">
        <f>PRODUCT(D9:F16)/10^9</f>
        <v>1.296</v>
      </c>
      <c r="P9" s="203">
        <f>2*(D9*E9+D9*F9)/10^6</f>
        <v>8.64</v>
      </c>
      <c r="Q9" s="189">
        <v>2</v>
      </c>
      <c r="R9" s="189"/>
    </row>
    <row r="10" spans="1:18" x14ac:dyDescent="0.15">
      <c r="A10" s="205"/>
      <c r="B10" s="189"/>
      <c r="C10" s="189"/>
      <c r="D10" s="189"/>
      <c r="E10" s="189"/>
      <c r="F10" s="189"/>
      <c r="G10" s="25">
        <v>2</v>
      </c>
      <c r="H10" s="25">
        <v>16</v>
      </c>
      <c r="I10" s="25">
        <f>D9</f>
        <v>3600</v>
      </c>
      <c r="J10" s="25">
        <v>4</v>
      </c>
      <c r="K10" s="25">
        <f>J10</f>
        <v>4</v>
      </c>
      <c r="L10" s="25">
        <f t="shared" ref="L10:L16" si="3">$C$9*K10</f>
        <v>8</v>
      </c>
      <c r="M10" s="25">
        <f t="shared" si="1"/>
        <v>22.745088000000003</v>
      </c>
      <c r="N10" s="201"/>
      <c r="O10" s="201"/>
      <c r="P10" s="201"/>
      <c r="Q10" s="189"/>
      <c r="R10" s="189"/>
    </row>
    <row r="11" spans="1:18" x14ac:dyDescent="0.15">
      <c r="A11" s="205"/>
      <c r="B11" s="189"/>
      <c r="C11" s="189"/>
      <c r="D11" s="189"/>
      <c r="E11" s="189"/>
      <c r="F11" s="189"/>
      <c r="G11" s="25">
        <v>3</v>
      </c>
      <c r="H11" s="25">
        <v>18</v>
      </c>
      <c r="I11" s="25">
        <f>D9</f>
        <v>3600</v>
      </c>
      <c r="J11" s="25">
        <v>4</v>
      </c>
      <c r="K11" s="25">
        <f>J11</f>
        <v>4</v>
      </c>
      <c r="L11" s="25">
        <f t="shared" si="3"/>
        <v>8</v>
      </c>
      <c r="M11" s="25">
        <f t="shared" si="1"/>
        <v>28.786752000000003</v>
      </c>
      <c r="N11" s="201"/>
      <c r="O11" s="201"/>
      <c r="P11" s="201"/>
      <c r="Q11" s="189"/>
      <c r="R11" s="189"/>
    </row>
    <row r="12" spans="1:18" x14ac:dyDescent="0.15">
      <c r="A12" s="205"/>
      <c r="B12" s="189"/>
      <c r="C12" s="189"/>
      <c r="D12" s="189"/>
      <c r="E12" s="189"/>
      <c r="F12" s="189"/>
      <c r="G12" s="25">
        <v>4</v>
      </c>
      <c r="H12" s="25">
        <v>20</v>
      </c>
      <c r="I12" s="25">
        <f>D9</f>
        <v>3600</v>
      </c>
      <c r="J12" s="25">
        <v>2</v>
      </c>
      <c r="K12" s="25">
        <f>J12</f>
        <v>2</v>
      </c>
      <c r="L12" s="25">
        <f t="shared" si="3"/>
        <v>4</v>
      </c>
      <c r="M12" s="25">
        <f t="shared" si="1"/>
        <v>17.769599999999997</v>
      </c>
      <c r="N12" s="201"/>
      <c r="O12" s="201"/>
      <c r="P12" s="201"/>
      <c r="Q12" s="189"/>
      <c r="R12" s="189"/>
    </row>
    <row r="13" spans="1:18" x14ac:dyDescent="0.15">
      <c r="A13" s="205"/>
      <c r="B13" s="189"/>
      <c r="C13" s="189"/>
      <c r="D13" s="189"/>
      <c r="E13" s="189"/>
      <c r="F13" s="189"/>
      <c r="G13" s="25">
        <v>5</v>
      </c>
      <c r="H13" s="25">
        <v>8</v>
      </c>
      <c r="I13" s="25">
        <v>4860</v>
      </c>
      <c r="J13" s="25">
        <v>1</v>
      </c>
      <c r="K13" s="25">
        <f>((ROUNDUP(MAX($E$9,$D$9/6,500)/100,0)+1)*2+IF(($D$9-MAX($E$9,$D$9/6,500))/200=0,INT(($D$9-MAX($E$9,$D$9/6,500))/200)-1,INT(($D$9-MAX($E$9,$D$9/6,500))/200)))*J13</f>
        <v>29</v>
      </c>
      <c r="L13" s="25">
        <f t="shared" si="3"/>
        <v>58</v>
      </c>
      <c r="M13" s="25">
        <f t="shared" si="1"/>
        <v>55.654387200000009</v>
      </c>
      <c r="N13" s="201"/>
      <c r="O13" s="201"/>
      <c r="P13" s="201"/>
      <c r="Q13" s="189"/>
      <c r="R13" s="189"/>
    </row>
    <row r="14" spans="1:18" x14ac:dyDescent="0.15">
      <c r="A14" s="205"/>
      <c r="B14" s="189"/>
      <c r="C14" s="189"/>
      <c r="D14" s="189"/>
      <c r="E14" s="189"/>
      <c r="F14" s="189"/>
      <c r="G14" s="25">
        <v>6</v>
      </c>
      <c r="H14" s="25">
        <v>8</v>
      </c>
      <c r="I14" s="25">
        <v>3330</v>
      </c>
      <c r="J14" s="25">
        <v>1</v>
      </c>
      <c r="K14" s="25">
        <f t="shared" ref="K14:K16" si="4">((ROUNDUP(MAX($E$9,$D$9/6,500)/100,0)+1)*2+IF(($D$9-MAX($E$9,$D$9/6,500))/200=0,INT(($D$9-MAX($E$9,$D$9/6,500))/200)-1,INT(($D$9-MAX($E$9,$D$9/6,500))/200)))*J14</f>
        <v>29</v>
      </c>
      <c r="L14" s="25">
        <f t="shared" si="3"/>
        <v>58</v>
      </c>
      <c r="M14" s="25">
        <f t="shared" si="1"/>
        <v>38.133561600000007</v>
      </c>
      <c r="N14" s="201"/>
      <c r="O14" s="201"/>
      <c r="P14" s="201"/>
      <c r="Q14" s="189"/>
      <c r="R14" s="189"/>
    </row>
    <row r="15" spans="1:18" x14ac:dyDescent="0.15">
      <c r="A15" s="205"/>
      <c r="B15" s="189"/>
      <c r="C15" s="189"/>
      <c r="D15" s="189"/>
      <c r="E15" s="189"/>
      <c r="F15" s="189"/>
      <c r="G15" s="25">
        <v>7</v>
      </c>
      <c r="H15" s="25">
        <v>8</v>
      </c>
      <c r="I15" s="25">
        <v>1500</v>
      </c>
      <c r="J15" s="25">
        <v>1</v>
      </c>
      <c r="K15" s="25">
        <f t="shared" si="4"/>
        <v>29</v>
      </c>
      <c r="L15" s="25">
        <f t="shared" si="3"/>
        <v>58</v>
      </c>
      <c r="M15" s="25">
        <f t="shared" si="1"/>
        <v>17.177280000000003</v>
      </c>
      <c r="N15" s="201"/>
      <c r="O15" s="201"/>
      <c r="P15" s="201"/>
      <c r="Q15" s="189"/>
      <c r="R15" s="189"/>
    </row>
    <row r="16" spans="1:18" x14ac:dyDescent="0.15">
      <c r="A16" s="205"/>
      <c r="B16" s="189"/>
      <c r="C16" s="189"/>
      <c r="D16" s="189"/>
      <c r="E16" s="189"/>
      <c r="F16" s="189"/>
      <c r="G16" s="25">
        <v>8</v>
      </c>
      <c r="H16" s="25">
        <v>8</v>
      </c>
      <c r="I16" s="25">
        <v>3500</v>
      </c>
      <c r="J16" s="25">
        <v>1</v>
      </c>
      <c r="K16" s="25">
        <f t="shared" si="4"/>
        <v>29</v>
      </c>
      <c r="L16" s="25">
        <f t="shared" si="3"/>
        <v>58</v>
      </c>
      <c r="M16" s="25">
        <f t="shared" si="1"/>
        <v>40.080320000000007</v>
      </c>
      <c r="N16" s="202"/>
      <c r="O16" s="202"/>
      <c r="P16" s="202"/>
      <c r="Q16" s="189"/>
      <c r="R16" s="189"/>
    </row>
    <row r="17" spans="1:18" x14ac:dyDescent="0.15">
      <c r="A17" s="205"/>
      <c r="B17" s="189" t="s">
        <v>54</v>
      </c>
      <c r="C17" s="189">
        <v>1</v>
      </c>
      <c r="D17" s="189">
        <v>3600</v>
      </c>
      <c r="E17" s="189">
        <v>600</v>
      </c>
      <c r="F17" s="189">
        <v>600</v>
      </c>
      <c r="G17" s="25">
        <v>1</v>
      </c>
      <c r="H17" s="25">
        <v>20</v>
      </c>
      <c r="I17" s="25">
        <f>D17</f>
        <v>3600</v>
      </c>
      <c r="J17" s="25">
        <v>4</v>
      </c>
      <c r="K17" s="25">
        <f>J17</f>
        <v>4</v>
      </c>
      <c r="L17" s="25">
        <f>$C$17*K17</f>
        <v>4</v>
      </c>
      <c r="M17" s="25">
        <f t="shared" si="1"/>
        <v>35.539199999999994</v>
      </c>
      <c r="N17" s="203">
        <f>SUM(M17:M24)</f>
        <v>255.88618880000001</v>
      </c>
      <c r="O17" s="203">
        <f>PRODUCT(D17:F24)/10^9</f>
        <v>1.296</v>
      </c>
      <c r="P17" s="203">
        <f>2*(D17*E17+D17*F17)/10^6</f>
        <v>8.64</v>
      </c>
      <c r="Q17" s="189">
        <v>1</v>
      </c>
      <c r="R17" s="189"/>
    </row>
    <row r="18" spans="1:18" x14ac:dyDescent="0.15">
      <c r="A18" s="205"/>
      <c r="B18" s="189"/>
      <c r="C18" s="189"/>
      <c r="D18" s="189"/>
      <c r="E18" s="189"/>
      <c r="F18" s="189"/>
      <c r="G18" s="25">
        <v>2</v>
      </c>
      <c r="H18" s="25">
        <v>16</v>
      </c>
      <c r="I18" s="25">
        <f>D17</f>
        <v>3600</v>
      </c>
      <c r="J18" s="25">
        <v>4</v>
      </c>
      <c r="K18" s="25">
        <f>J18</f>
        <v>4</v>
      </c>
      <c r="L18" s="25">
        <f t="shared" ref="L18:L24" si="5">$C$17*K18</f>
        <v>4</v>
      </c>
      <c r="M18" s="25">
        <f t="shared" si="1"/>
        <v>22.745088000000003</v>
      </c>
      <c r="N18" s="201"/>
      <c r="O18" s="201"/>
      <c r="P18" s="201"/>
      <c r="Q18" s="189"/>
      <c r="R18" s="189"/>
    </row>
    <row r="19" spans="1:18" x14ac:dyDescent="0.15">
      <c r="A19" s="205"/>
      <c r="B19" s="189"/>
      <c r="C19" s="189"/>
      <c r="D19" s="189"/>
      <c r="E19" s="189"/>
      <c r="F19" s="189"/>
      <c r="G19" s="25">
        <v>3</v>
      </c>
      <c r="H19" s="25">
        <v>20</v>
      </c>
      <c r="I19" s="25">
        <f>D17</f>
        <v>3600</v>
      </c>
      <c r="J19" s="25">
        <v>2</v>
      </c>
      <c r="K19" s="25">
        <f>J19</f>
        <v>2</v>
      </c>
      <c r="L19" s="25">
        <f t="shared" si="5"/>
        <v>2</v>
      </c>
      <c r="M19" s="25">
        <f t="shared" si="1"/>
        <v>17.769599999999997</v>
      </c>
      <c r="N19" s="201"/>
      <c r="O19" s="201"/>
      <c r="P19" s="201"/>
      <c r="Q19" s="189"/>
      <c r="R19" s="189"/>
    </row>
    <row r="20" spans="1:18" x14ac:dyDescent="0.15">
      <c r="A20" s="205"/>
      <c r="B20" s="189"/>
      <c r="C20" s="189"/>
      <c r="D20" s="189"/>
      <c r="E20" s="189"/>
      <c r="F20" s="189"/>
      <c r="G20" s="25">
        <v>4</v>
      </c>
      <c r="H20" s="25">
        <v>18</v>
      </c>
      <c r="I20" s="25">
        <f>D17</f>
        <v>3600</v>
      </c>
      <c r="J20" s="25">
        <v>4</v>
      </c>
      <c r="K20" s="25">
        <f>J20</f>
        <v>4</v>
      </c>
      <c r="L20" s="25">
        <f t="shared" si="5"/>
        <v>4</v>
      </c>
      <c r="M20" s="25">
        <f t="shared" si="1"/>
        <v>28.786752000000003</v>
      </c>
      <c r="N20" s="201"/>
      <c r="O20" s="201"/>
      <c r="P20" s="201"/>
      <c r="Q20" s="189"/>
      <c r="R20" s="189"/>
    </row>
    <row r="21" spans="1:18" x14ac:dyDescent="0.15">
      <c r="A21" s="205"/>
      <c r="B21" s="189"/>
      <c r="C21" s="189"/>
      <c r="D21" s="189"/>
      <c r="E21" s="189"/>
      <c r="F21" s="189"/>
      <c r="G21" s="25">
        <v>5</v>
      </c>
      <c r="H21" s="25">
        <v>8</v>
      </c>
      <c r="I21" s="25">
        <v>4860</v>
      </c>
      <c r="J21" s="25">
        <v>1</v>
      </c>
      <c r="K21" s="25">
        <f>((ROUNDUP(MAX($E$17,$D$17/6,500)/100,0)+1)*2+IF(($D$17-MAX($E$17,$D$17/6,500))/200=0,INT(($D$17-MAX($E$17,$D$17/6,500))/200)-1,INT(($D$17-MAX($E$17,$D$17/6,500))/200)))*J21</f>
        <v>29</v>
      </c>
      <c r="L21" s="25">
        <f t="shared" si="5"/>
        <v>29</v>
      </c>
      <c r="M21" s="25">
        <f t="shared" si="1"/>
        <v>55.654387200000009</v>
      </c>
      <c r="N21" s="201"/>
      <c r="O21" s="201"/>
      <c r="P21" s="201"/>
      <c r="Q21" s="189"/>
      <c r="R21" s="189"/>
    </row>
    <row r="22" spans="1:18" x14ac:dyDescent="0.15">
      <c r="A22" s="205"/>
      <c r="B22" s="189"/>
      <c r="C22" s="189"/>
      <c r="D22" s="189"/>
      <c r="E22" s="189"/>
      <c r="F22" s="189"/>
      <c r="G22" s="25">
        <v>6</v>
      </c>
      <c r="H22" s="25">
        <v>8</v>
      </c>
      <c r="I22" s="25">
        <v>3330</v>
      </c>
      <c r="J22" s="25">
        <v>1</v>
      </c>
      <c r="K22" s="25">
        <f t="shared" ref="K22:K24" si="6">((ROUNDUP(MAX($E$17,$D$17/6,500)/100,0)+1)*2+IF(($D$17-MAX($E$17,$D$17/6,500))/200=0,INT(($D$17-MAX($E$17,$D$17/6,500))/200)-1,INT(($D$17-MAX($E$17,$D$17/6,500))/200)))*J22</f>
        <v>29</v>
      </c>
      <c r="L22" s="25">
        <f t="shared" si="5"/>
        <v>29</v>
      </c>
      <c r="M22" s="25">
        <f t="shared" si="1"/>
        <v>38.133561600000007</v>
      </c>
      <c r="N22" s="201"/>
      <c r="O22" s="201"/>
      <c r="P22" s="201"/>
      <c r="Q22" s="189"/>
      <c r="R22" s="189"/>
    </row>
    <row r="23" spans="1:18" x14ac:dyDescent="0.15">
      <c r="A23" s="205"/>
      <c r="B23" s="189"/>
      <c r="C23" s="189"/>
      <c r="D23" s="189"/>
      <c r="E23" s="189"/>
      <c r="F23" s="189"/>
      <c r="G23" s="25">
        <v>7</v>
      </c>
      <c r="H23" s="25">
        <v>8</v>
      </c>
      <c r="I23" s="25">
        <v>1500</v>
      </c>
      <c r="J23" s="25">
        <v>1</v>
      </c>
      <c r="K23" s="25">
        <f t="shared" si="6"/>
        <v>29</v>
      </c>
      <c r="L23" s="25">
        <f t="shared" si="5"/>
        <v>29</v>
      </c>
      <c r="M23" s="25">
        <f t="shared" si="1"/>
        <v>17.177280000000003</v>
      </c>
      <c r="N23" s="201"/>
      <c r="O23" s="201"/>
      <c r="P23" s="201"/>
      <c r="Q23" s="189"/>
      <c r="R23" s="189"/>
    </row>
    <row r="24" spans="1:18" x14ac:dyDescent="0.15">
      <c r="A24" s="205"/>
      <c r="B24" s="189"/>
      <c r="C24" s="189"/>
      <c r="D24" s="189"/>
      <c r="E24" s="189"/>
      <c r="F24" s="189"/>
      <c r="G24" s="25">
        <v>8</v>
      </c>
      <c r="H24" s="25">
        <v>8</v>
      </c>
      <c r="I24" s="25">
        <v>3500</v>
      </c>
      <c r="J24" s="25">
        <v>1</v>
      </c>
      <c r="K24" s="25">
        <f t="shared" si="6"/>
        <v>29</v>
      </c>
      <c r="L24" s="25">
        <f t="shared" si="5"/>
        <v>29</v>
      </c>
      <c r="M24" s="25">
        <f t="shared" si="1"/>
        <v>40.080320000000007</v>
      </c>
      <c r="N24" s="202"/>
      <c r="O24" s="202"/>
      <c r="P24" s="202"/>
      <c r="Q24" s="189"/>
      <c r="R24" s="189"/>
    </row>
    <row r="25" spans="1:18" x14ac:dyDescent="0.15">
      <c r="A25" s="205"/>
      <c r="B25" s="189" t="s">
        <v>55</v>
      </c>
      <c r="C25" s="189">
        <v>5</v>
      </c>
      <c r="D25" s="189">
        <v>3600</v>
      </c>
      <c r="E25" s="189">
        <v>600</v>
      </c>
      <c r="F25" s="189">
        <v>600</v>
      </c>
      <c r="G25" s="25">
        <v>1</v>
      </c>
      <c r="H25" s="25">
        <v>18</v>
      </c>
      <c r="I25" s="25">
        <f>D25</f>
        <v>3600</v>
      </c>
      <c r="J25" s="25">
        <v>4</v>
      </c>
      <c r="K25" s="25">
        <f>J25</f>
        <v>4</v>
      </c>
      <c r="L25" s="25">
        <f>$C$25*K25</f>
        <v>20</v>
      </c>
      <c r="M25" s="25">
        <f t="shared" si="1"/>
        <v>28.786752000000003</v>
      </c>
      <c r="N25" s="203">
        <f>SUM(M25:M30)</f>
        <v>251.67321408000006</v>
      </c>
      <c r="O25" s="203">
        <f>PRODUCT(D25:F30)/10^9</f>
        <v>1.296</v>
      </c>
      <c r="P25" s="203">
        <f>2*(D25*E25+D25*F25)/10^6</f>
        <v>8.64</v>
      </c>
      <c r="Q25" s="189">
        <v>3</v>
      </c>
      <c r="R25" s="189">
        <v>2</v>
      </c>
    </row>
    <row r="26" spans="1:18" x14ac:dyDescent="0.15">
      <c r="A26" s="205"/>
      <c r="B26" s="189"/>
      <c r="C26" s="189"/>
      <c r="D26" s="189"/>
      <c r="E26" s="189"/>
      <c r="F26" s="189"/>
      <c r="G26" s="25">
        <v>2</v>
      </c>
      <c r="H26" s="25">
        <v>18</v>
      </c>
      <c r="I26" s="25">
        <f>D25</f>
        <v>3600</v>
      </c>
      <c r="J26" s="25">
        <v>10</v>
      </c>
      <c r="K26" s="25">
        <f>J26</f>
        <v>10</v>
      </c>
      <c r="L26" s="25">
        <f t="shared" ref="L26:L30" si="7">$C$25*K26</f>
        <v>50</v>
      </c>
      <c r="M26" s="25">
        <f t="shared" si="1"/>
        <v>71.966880000000018</v>
      </c>
      <c r="N26" s="201"/>
      <c r="O26" s="201"/>
      <c r="P26" s="201"/>
      <c r="Q26" s="189"/>
      <c r="R26" s="189"/>
    </row>
    <row r="27" spans="1:18" x14ac:dyDescent="0.15">
      <c r="A27" s="205"/>
      <c r="B27" s="189"/>
      <c r="C27" s="189"/>
      <c r="D27" s="189"/>
      <c r="E27" s="189"/>
      <c r="F27" s="189"/>
      <c r="G27" s="25">
        <v>3</v>
      </c>
      <c r="H27" s="25">
        <v>8</v>
      </c>
      <c r="I27" s="25">
        <v>4860</v>
      </c>
      <c r="J27" s="25">
        <v>1</v>
      </c>
      <c r="K27" s="25">
        <f>((ROUNDUP(MAX($E$25,$D$25/6,500)/100,0)+1)*2+IF(($D$25-MAX($E$25,$D$25/6,500))/200=0,INT(($D$25-MAX($E$25,$D$25/6,500))/200)-1,INT(($D$25-MAX($E$25,$D$25/6,500))/200)))*J27</f>
        <v>29</v>
      </c>
      <c r="L27" s="25">
        <f t="shared" si="7"/>
        <v>145</v>
      </c>
      <c r="M27" s="25">
        <f t="shared" si="1"/>
        <v>55.654387200000009</v>
      </c>
      <c r="N27" s="201"/>
      <c r="O27" s="201"/>
      <c r="P27" s="201"/>
      <c r="Q27" s="189"/>
      <c r="R27" s="189"/>
    </row>
    <row r="28" spans="1:18" x14ac:dyDescent="0.15">
      <c r="A28" s="205"/>
      <c r="B28" s="189"/>
      <c r="C28" s="189"/>
      <c r="D28" s="189"/>
      <c r="E28" s="189"/>
      <c r="F28" s="189"/>
      <c r="G28" s="25">
        <v>4</v>
      </c>
      <c r="H28" s="25">
        <v>8</v>
      </c>
      <c r="I28" s="25">
        <v>3324</v>
      </c>
      <c r="J28" s="25">
        <v>1</v>
      </c>
      <c r="K28" s="25">
        <f t="shared" ref="K28:K30" si="8">((ROUNDUP(MAX($E$25,$D$25/6,500)/100,0)+1)*2+IF(($D$25-MAX($E$25,$D$25/6,500))/200=0,INT(($D$25-MAX($E$25,$D$25/6,500))/200)-1,INT(($D$25-MAX($E$25,$D$25/6,500))/200)))*J28</f>
        <v>29</v>
      </c>
      <c r="L28" s="25">
        <f t="shared" si="7"/>
        <v>145</v>
      </c>
      <c r="M28" s="25">
        <f t="shared" si="1"/>
        <v>38.064852480000006</v>
      </c>
      <c r="N28" s="201"/>
      <c r="O28" s="201"/>
      <c r="P28" s="201"/>
      <c r="Q28" s="189"/>
      <c r="R28" s="189"/>
    </row>
    <row r="29" spans="1:18" x14ac:dyDescent="0.15">
      <c r="A29" s="205"/>
      <c r="B29" s="189"/>
      <c r="C29" s="189"/>
      <c r="D29" s="189"/>
      <c r="E29" s="189"/>
      <c r="F29" s="189"/>
      <c r="G29" s="25">
        <v>5</v>
      </c>
      <c r="H29" s="25">
        <v>8</v>
      </c>
      <c r="I29" s="25">
        <v>1500</v>
      </c>
      <c r="J29" s="25">
        <v>1</v>
      </c>
      <c r="K29" s="25">
        <f t="shared" si="8"/>
        <v>29</v>
      </c>
      <c r="L29" s="25">
        <f t="shared" si="7"/>
        <v>145</v>
      </c>
      <c r="M29" s="25">
        <f t="shared" si="1"/>
        <v>17.177280000000003</v>
      </c>
      <c r="N29" s="201"/>
      <c r="O29" s="201"/>
      <c r="P29" s="201"/>
      <c r="Q29" s="189"/>
      <c r="R29" s="189"/>
    </row>
    <row r="30" spans="1:18" x14ac:dyDescent="0.15">
      <c r="A30" s="205"/>
      <c r="B30" s="189"/>
      <c r="C30" s="189"/>
      <c r="D30" s="189"/>
      <c r="E30" s="189"/>
      <c r="F30" s="189"/>
      <c r="G30" s="25">
        <v>6</v>
      </c>
      <c r="H30" s="25">
        <v>8</v>
      </c>
      <c r="I30" s="25">
        <v>3495</v>
      </c>
      <c r="J30" s="25">
        <v>1</v>
      </c>
      <c r="K30" s="25">
        <f t="shared" si="8"/>
        <v>29</v>
      </c>
      <c r="L30" s="25">
        <f t="shared" si="7"/>
        <v>145</v>
      </c>
      <c r="M30" s="25">
        <f t="shared" si="1"/>
        <v>40.023062400000008</v>
      </c>
      <c r="N30" s="202"/>
      <c r="O30" s="202"/>
      <c r="P30" s="202"/>
      <c r="Q30" s="189"/>
      <c r="R30" s="189"/>
    </row>
    <row r="31" spans="1:18" x14ac:dyDescent="0.15">
      <c r="A31" s="205"/>
      <c r="B31" s="189" t="s">
        <v>56</v>
      </c>
      <c r="C31" s="189">
        <v>10</v>
      </c>
      <c r="D31" s="189">
        <v>3600</v>
      </c>
      <c r="E31" s="189">
        <v>600</v>
      </c>
      <c r="F31" s="189">
        <v>600</v>
      </c>
      <c r="G31" s="25">
        <v>1</v>
      </c>
      <c r="H31" s="25">
        <v>18</v>
      </c>
      <c r="I31" s="25">
        <f>D31</f>
        <v>3600</v>
      </c>
      <c r="J31" s="25">
        <v>4</v>
      </c>
      <c r="K31" s="25">
        <f>J31</f>
        <v>4</v>
      </c>
      <c r="L31" s="25">
        <f>$C$31*K31</f>
        <v>40</v>
      </c>
      <c r="M31" s="25">
        <f t="shared" si="1"/>
        <v>28.786752000000003</v>
      </c>
      <c r="N31" s="203">
        <f>SUM(M31:M36)</f>
        <v>251.67321408000006</v>
      </c>
      <c r="O31" s="203">
        <f>PRODUCT(D31:F36)/10^9</f>
        <v>1.296</v>
      </c>
      <c r="P31" s="203">
        <f>2*(D31*E31+D31*F31)/10^6</f>
        <v>8.64</v>
      </c>
      <c r="Q31" s="189">
        <v>6</v>
      </c>
      <c r="R31" s="189">
        <v>4</v>
      </c>
    </row>
    <row r="32" spans="1:18" x14ac:dyDescent="0.15">
      <c r="A32" s="205"/>
      <c r="B32" s="189"/>
      <c r="C32" s="189"/>
      <c r="D32" s="189"/>
      <c r="E32" s="189"/>
      <c r="F32" s="189"/>
      <c r="G32" s="25">
        <v>2</v>
      </c>
      <c r="H32" s="25">
        <v>18</v>
      </c>
      <c r="I32" s="25">
        <f>D31</f>
        <v>3600</v>
      </c>
      <c r="J32" s="25">
        <v>10</v>
      </c>
      <c r="K32" s="25">
        <f>J32</f>
        <v>10</v>
      </c>
      <c r="L32" s="25">
        <f t="shared" ref="L32:L36" si="9">$C$31*K32</f>
        <v>100</v>
      </c>
      <c r="M32" s="25">
        <f t="shared" si="1"/>
        <v>71.966880000000018</v>
      </c>
      <c r="N32" s="201"/>
      <c r="O32" s="201"/>
      <c r="P32" s="201"/>
      <c r="Q32" s="189"/>
      <c r="R32" s="189"/>
    </row>
    <row r="33" spans="1:18" x14ac:dyDescent="0.15">
      <c r="A33" s="205"/>
      <c r="B33" s="189"/>
      <c r="C33" s="189"/>
      <c r="D33" s="189"/>
      <c r="E33" s="189"/>
      <c r="F33" s="189"/>
      <c r="G33" s="25">
        <v>3</v>
      </c>
      <c r="H33" s="25">
        <v>8</v>
      </c>
      <c r="I33" s="25">
        <v>4860</v>
      </c>
      <c r="J33" s="25">
        <v>1</v>
      </c>
      <c r="K33" s="25">
        <f>((ROUNDUP(MAX($E$31,$D$31/6,500)/100,0)+1)*2+IF(($D$31-MAX($E$31,$D$31/6,500))/200=0,INT(($D$31-MAX($E$31,$D$31/6,500))/200)-1,INT(($D$31-MAX($E$31,$D$31/6,500))/200)))*J33</f>
        <v>29</v>
      </c>
      <c r="L33" s="25">
        <f t="shared" si="9"/>
        <v>290</v>
      </c>
      <c r="M33" s="25">
        <f t="shared" si="1"/>
        <v>55.654387200000009</v>
      </c>
      <c r="N33" s="201"/>
      <c r="O33" s="201"/>
      <c r="P33" s="201"/>
      <c r="Q33" s="189"/>
      <c r="R33" s="189"/>
    </row>
    <row r="34" spans="1:18" x14ac:dyDescent="0.15">
      <c r="A34" s="205"/>
      <c r="B34" s="189"/>
      <c r="C34" s="189"/>
      <c r="D34" s="189"/>
      <c r="E34" s="189"/>
      <c r="F34" s="189"/>
      <c r="G34" s="25">
        <v>4</v>
      </c>
      <c r="H34" s="25">
        <v>8</v>
      </c>
      <c r="I34" s="25">
        <v>3324</v>
      </c>
      <c r="J34" s="25">
        <v>1</v>
      </c>
      <c r="K34" s="25">
        <f t="shared" ref="K34:K36" si="10">((ROUNDUP(MAX($E$31,$D$31/6,500)/100,0)+1)*2+IF(($D$31-MAX($E$31,$D$31/6,500))/200=0,INT(($D$31-MAX($E$31,$D$31/6,500))/200)-1,INT(($D$31-MAX($E$31,$D$31/6,500))/200)))*J34</f>
        <v>29</v>
      </c>
      <c r="L34" s="25">
        <f t="shared" si="9"/>
        <v>290</v>
      </c>
      <c r="M34" s="25">
        <f t="shared" si="1"/>
        <v>38.064852480000006</v>
      </c>
      <c r="N34" s="201"/>
      <c r="O34" s="201"/>
      <c r="P34" s="201"/>
      <c r="Q34" s="189"/>
      <c r="R34" s="189"/>
    </row>
    <row r="35" spans="1:18" x14ac:dyDescent="0.15">
      <c r="A35" s="205"/>
      <c r="B35" s="189"/>
      <c r="C35" s="189"/>
      <c r="D35" s="189"/>
      <c r="E35" s="189"/>
      <c r="F35" s="189"/>
      <c r="G35" s="25">
        <v>5</v>
      </c>
      <c r="H35" s="25">
        <v>8</v>
      </c>
      <c r="I35" s="25">
        <v>1500</v>
      </c>
      <c r="J35" s="25">
        <v>1</v>
      </c>
      <c r="K35" s="25">
        <f t="shared" si="10"/>
        <v>29</v>
      </c>
      <c r="L35" s="25">
        <f t="shared" si="9"/>
        <v>290</v>
      </c>
      <c r="M35" s="25">
        <f t="shared" si="1"/>
        <v>17.177280000000003</v>
      </c>
      <c r="N35" s="201"/>
      <c r="O35" s="201"/>
      <c r="P35" s="201"/>
      <c r="Q35" s="189"/>
      <c r="R35" s="189"/>
    </row>
    <row r="36" spans="1:18" x14ac:dyDescent="0.15">
      <c r="A36" s="205"/>
      <c r="B36" s="189"/>
      <c r="C36" s="189"/>
      <c r="D36" s="189"/>
      <c r="E36" s="189"/>
      <c r="F36" s="189"/>
      <c r="G36" s="25">
        <v>6</v>
      </c>
      <c r="H36" s="25">
        <v>8</v>
      </c>
      <c r="I36" s="25">
        <v>3495</v>
      </c>
      <c r="J36" s="25">
        <v>1</v>
      </c>
      <c r="K36" s="25">
        <f t="shared" si="10"/>
        <v>29</v>
      </c>
      <c r="L36" s="25">
        <f t="shared" si="9"/>
        <v>290</v>
      </c>
      <c r="M36" s="25">
        <f t="shared" si="1"/>
        <v>40.023062400000008</v>
      </c>
      <c r="N36" s="202"/>
      <c r="O36" s="202"/>
      <c r="P36" s="202"/>
      <c r="Q36" s="189"/>
      <c r="R36" s="189"/>
    </row>
    <row r="37" spans="1:18" x14ac:dyDescent="0.15">
      <c r="A37" s="205"/>
      <c r="B37" s="189" t="s">
        <v>57</v>
      </c>
      <c r="C37" s="189">
        <v>5</v>
      </c>
      <c r="D37" s="189">
        <v>3600</v>
      </c>
      <c r="E37" s="189">
        <v>600</v>
      </c>
      <c r="F37" s="189">
        <v>600</v>
      </c>
      <c r="G37" s="25">
        <v>1</v>
      </c>
      <c r="H37" s="25">
        <v>18</v>
      </c>
      <c r="I37" s="25">
        <f>D37</f>
        <v>3600</v>
      </c>
      <c r="J37" s="25">
        <v>4</v>
      </c>
      <c r="K37" s="25">
        <f>J37</f>
        <v>4</v>
      </c>
      <c r="L37" s="25">
        <f>$C$37*K37</f>
        <v>20</v>
      </c>
      <c r="M37" s="25">
        <f t="shared" si="1"/>
        <v>28.786752000000003</v>
      </c>
      <c r="N37" s="203">
        <f>SUM(M37:M42)</f>
        <v>251.67321408000006</v>
      </c>
      <c r="O37" s="203">
        <f>PRODUCT(D37:F42)/10^9</f>
        <v>1.296</v>
      </c>
      <c r="P37" s="203">
        <f>2*(D37*E37+D37*F37)/10^6</f>
        <v>8.64</v>
      </c>
      <c r="Q37" s="189">
        <v>3</v>
      </c>
      <c r="R37" s="189">
        <v>2</v>
      </c>
    </row>
    <row r="38" spans="1:18" x14ac:dyDescent="0.15">
      <c r="A38" s="205"/>
      <c r="B38" s="189"/>
      <c r="C38" s="189"/>
      <c r="D38" s="189"/>
      <c r="E38" s="189"/>
      <c r="F38" s="189"/>
      <c r="G38" s="25">
        <v>2</v>
      </c>
      <c r="H38" s="25">
        <v>18</v>
      </c>
      <c r="I38" s="25">
        <f>D37</f>
        <v>3600</v>
      </c>
      <c r="J38" s="25">
        <v>10</v>
      </c>
      <c r="K38" s="25">
        <f>J38</f>
        <v>10</v>
      </c>
      <c r="L38" s="25">
        <f t="shared" ref="L38:L42" si="11">$C$37*K38</f>
        <v>50</v>
      </c>
      <c r="M38" s="25">
        <f t="shared" si="1"/>
        <v>71.966880000000018</v>
      </c>
      <c r="N38" s="201"/>
      <c r="O38" s="201"/>
      <c r="P38" s="201"/>
      <c r="Q38" s="189"/>
      <c r="R38" s="189"/>
    </row>
    <row r="39" spans="1:18" x14ac:dyDescent="0.15">
      <c r="A39" s="205"/>
      <c r="B39" s="189"/>
      <c r="C39" s="189"/>
      <c r="D39" s="189"/>
      <c r="E39" s="189"/>
      <c r="F39" s="189"/>
      <c r="G39" s="25">
        <v>3</v>
      </c>
      <c r="H39" s="25">
        <v>8</v>
      </c>
      <c r="I39" s="25">
        <v>4860</v>
      </c>
      <c r="J39" s="25">
        <v>1</v>
      </c>
      <c r="K39" s="25">
        <f>((ROUNDUP(MAX($E$37,$D$37/6,500)/100,0)+1)*2+IF(($D$37-MAX($E$37,$D$37/6,500))/200=0,INT(($D$37-MAX($E$37,$D$37/6,500))/200)-1,INT(($D$37-MAX($E$37,$D$37/6,500))/200)))*J39</f>
        <v>29</v>
      </c>
      <c r="L39" s="25">
        <f t="shared" si="11"/>
        <v>145</v>
      </c>
      <c r="M39" s="25">
        <f t="shared" si="1"/>
        <v>55.654387200000009</v>
      </c>
      <c r="N39" s="201"/>
      <c r="O39" s="201"/>
      <c r="P39" s="201"/>
      <c r="Q39" s="189"/>
      <c r="R39" s="189"/>
    </row>
    <row r="40" spans="1:18" x14ac:dyDescent="0.15">
      <c r="A40" s="205"/>
      <c r="B40" s="189"/>
      <c r="C40" s="189"/>
      <c r="D40" s="189"/>
      <c r="E40" s="189"/>
      <c r="F40" s="189"/>
      <c r="G40" s="25">
        <v>4</v>
      </c>
      <c r="H40" s="25">
        <v>8</v>
      </c>
      <c r="I40" s="25">
        <v>3324</v>
      </c>
      <c r="J40" s="25">
        <v>1</v>
      </c>
      <c r="K40" s="25">
        <f t="shared" ref="K40:K42" si="12">((ROUNDUP(MAX($E$37,$D$37/6,500)/100,0)+1)*2+IF(($D$37-MAX($E$37,$D$37/6,500))/200=0,INT(($D$37-MAX($E$37,$D$37/6,500))/200)-1,INT(($D$37-MAX($E$37,$D$37/6,500))/200)))*J40</f>
        <v>29</v>
      </c>
      <c r="L40" s="25">
        <f t="shared" si="11"/>
        <v>145</v>
      </c>
      <c r="M40" s="25">
        <f t="shared" si="1"/>
        <v>38.064852480000006</v>
      </c>
      <c r="N40" s="201"/>
      <c r="O40" s="201"/>
      <c r="P40" s="201"/>
      <c r="Q40" s="189"/>
      <c r="R40" s="189"/>
    </row>
    <row r="41" spans="1:18" x14ac:dyDescent="0.15">
      <c r="A41" s="205"/>
      <c r="B41" s="189"/>
      <c r="C41" s="189"/>
      <c r="D41" s="189"/>
      <c r="E41" s="189"/>
      <c r="F41" s="189"/>
      <c r="G41" s="25">
        <v>5</v>
      </c>
      <c r="H41" s="25">
        <v>8</v>
      </c>
      <c r="I41" s="25">
        <v>1500</v>
      </c>
      <c r="J41" s="25">
        <v>1</v>
      </c>
      <c r="K41" s="25">
        <f t="shared" si="12"/>
        <v>29</v>
      </c>
      <c r="L41" s="25">
        <f t="shared" si="11"/>
        <v>145</v>
      </c>
      <c r="M41" s="25">
        <f t="shared" si="1"/>
        <v>17.177280000000003</v>
      </c>
      <c r="N41" s="201"/>
      <c r="O41" s="201"/>
      <c r="P41" s="201"/>
      <c r="Q41" s="189"/>
      <c r="R41" s="189"/>
    </row>
    <row r="42" spans="1:18" x14ac:dyDescent="0.15">
      <c r="A42" s="205"/>
      <c r="B42" s="189"/>
      <c r="C42" s="189"/>
      <c r="D42" s="189"/>
      <c r="E42" s="189"/>
      <c r="F42" s="189"/>
      <c r="G42" s="25">
        <v>6</v>
      </c>
      <c r="H42" s="25">
        <v>8</v>
      </c>
      <c r="I42" s="25">
        <v>3495</v>
      </c>
      <c r="J42" s="25">
        <v>1</v>
      </c>
      <c r="K42" s="25">
        <f t="shared" si="12"/>
        <v>29</v>
      </c>
      <c r="L42" s="25">
        <f t="shared" si="11"/>
        <v>145</v>
      </c>
      <c r="M42" s="25">
        <f t="shared" si="1"/>
        <v>40.023062400000008</v>
      </c>
      <c r="N42" s="202"/>
      <c r="O42" s="202"/>
      <c r="P42" s="202"/>
      <c r="Q42" s="189"/>
      <c r="R42" s="189"/>
    </row>
    <row r="43" spans="1:18" x14ac:dyDescent="0.15">
      <c r="A43" s="205"/>
      <c r="B43" s="189" t="s">
        <v>58</v>
      </c>
      <c r="C43" s="189">
        <v>1</v>
      </c>
      <c r="D43" s="189">
        <v>3600</v>
      </c>
      <c r="E43" s="189">
        <v>600</v>
      </c>
      <c r="F43" s="189">
        <v>600</v>
      </c>
      <c r="G43" s="25">
        <v>1</v>
      </c>
      <c r="H43" s="25">
        <v>22</v>
      </c>
      <c r="I43" s="25">
        <f>D43</f>
        <v>3600</v>
      </c>
      <c r="J43" s="25">
        <v>4</v>
      </c>
      <c r="K43" s="25">
        <f>J43</f>
        <v>4</v>
      </c>
      <c r="L43" s="25">
        <f>$C$43*K43</f>
        <v>4</v>
      </c>
      <c r="M43" s="25">
        <f t="shared" si="1"/>
        <v>43.002431999999999</v>
      </c>
      <c r="N43" s="203">
        <f>SUM(M43:M50)</f>
        <v>273.24866752000003</v>
      </c>
      <c r="O43" s="203">
        <f>PRODUCT(D43:F50)/10^9</f>
        <v>1.296</v>
      </c>
      <c r="P43" s="203">
        <f>2*(D43*E43+D43*F43)/10^6</f>
        <v>8.64</v>
      </c>
      <c r="Q43" s="189"/>
      <c r="R43" s="189">
        <v>1</v>
      </c>
    </row>
    <row r="44" spans="1:18" x14ac:dyDescent="0.15">
      <c r="A44" s="205"/>
      <c r="B44" s="189"/>
      <c r="C44" s="189"/>
      <c r="D44" s="189"/>
      <c r="E44" s="189"/>
      <c r="F44" s="189"/>
      <c r="G44" s="25">
        <v>2</v>
      </c>
      <c r="H44" s="25">
        <v>18</v>
      </c>
      <c r="I44" s="25">
        <f>D43</f>
        <v>3600</v>
      </c>
      <c r="J44" s="25">
        <v>4</v>
      </c>
      <c r="K44" s="25">
        <f>J44</f>
        <v>4</v>
      </c>
      <c r="L44" s="25">
        <f t="shared" ref="L44:L50" si="13">$C$43*K44</f>
        <v>4</v>
      </c>
      <c r="M44" s="25">
        <f t="shared" si="1"/>
        <v>28.786752000000003</v>
      </c>
      <c r="N44" s="201"/>
      <c r="O44" s="201"/>
      <c r="P44" s="201"/>
      <c r="Q44" s="189"/>
      <c r="R44" s="189"/>
    </row>
    <row r="45" spans="1:18" x14ac:dyDescent="0.15">
      <c r="A45" s="205"/>
      <c r="B45" s="189"/>
      <c r="C45" s="189"/>
      <c r="D45" s="189"/>
      <c r="E45" s="189"/>
      <c r="F45" s="189"/>
      <c r="G45" s="25">
        <v>3</v>
      </c>
      <c r="H45" s="25">
        <v>22</v>
      </c>
      <c r="I45" s="25">
        <f>D43</f>
        <v>3600</v>
      </c>
      <c r="J45" s="25">
        <v>2</v>
      </c>
      <c r="K45" s="25">
        <f>J45</f>
        <v>2</v>
      </c>
      <c r="L45" s="25">
        <f t="shared" si="13"/>
        <v>2</v>
      </c>
      <c r="M45" s="25">
        <f t="shared" si="1"/>
        <v>21.501215999999999</v>
      </c>
      <c r="N45" s="201"/>
      <c r="O45" s="201"/>
      <c r="P45" s="201"/>
      <c r="Q45" s="189"/>
      <c r="R45" s="189"/>
    </row>
    <row r="46" spans="1:18" x14ac:dyDescent="0.15">
      <c r="A46" s="205"/>
      <c r="B46" s="189"/>
      <c r="C46" s="189"/>
      <c r="D46" s="189"/>
      <c r="E46" s="189"/>
      <c r="F46" s="189"/>
      <c r="G46" s="25">
        <v>4</v>
      </c>
      <c r="H46" s="25">
        <v>18</v>
      </c>
      <c r="I46" s="25">
        <f>D43</f>
        <v>3600</v>
      </c>
      <c r="J46" s="25">
        <v>4</v>
      </c>
      <c r="K46" s="25">
        <f>J46</f>
        <v>4</v>
      </c>
      <c r="L46" s="25">
        <f t="shared" si="13"/>
        <v>4</v>
      </c>
      <c r="M46" s="25">
        <f t="shared" si="1"/>
        <v>28.786752000000003</v>
      </c>
      <c r="N46" s="201"/>
      <c r="O46" s="201"/>
      <c r="P46" s="201"/>
      <c r="Q46" s="189"/>
      <c r="R46" s="189"/>
    </row>
    <row r="47" spans="1:18" x14ac:dyDescent="0.15">
      <c r="A47" s="205"/>
      <c r="B47" s="189"/>
      <c r="C47" s="189"/>
      <c r="D47" s="189"/>
      <c r="E47" s="189"/>
      <c r="F47" s="189"/>
      <c r="G47" s="25">
        <v>5</v>
      </c>
      <c r="H47" s="25">
        <v>8</v>
      </c>
      <c r="I47" s="25">
        <v>4860</v>
      </c>
      <c r="J47" s="25">
        <v>1</v>
      </c>
      <c r="K47" s="25">
        <f>((ROUNDUP(MAX($E$43,$D$43/6,500)/100,0)+1)*2+IF(($D$43-MAX($E$43,$D$43/6,500))/200=0,INT(($D$43-MAX($E$43,$D$43/6,500))/200)-1,INT(($D$43-MAX($E$43,$D$43/6,500))/200)))*J47</f>
        <v>29</v>
      </c>
      <c r="L47" s="25">
        <f t="shared" si="13"/>
        <v>29</v>
      </c>
      <c r="M47" s="25">
        <f t="shared" si="1"/>
        <v>55.654387200000009</v>
      </c>
      <c r="N47" s="201"/>
      <c r="O47" s="201"/>
      <c r="P47" s="201"/>
      <c r="Q47" s="189"/>
      <c r="R47" s="189"/>
    </row>
    <row r="48" spans="1:18" x14ac:dyDescent="0.15">
      <c r="A48" s="205"/>
      <c r="B48" s="189"/>
      <c r="C48" s="189"/>
      <c r="D48" s="189"/>
      <c r="E48" s="189"/>
      <c r="F48" s="189"/>
      <c r="G48" s="25">
        <v>6</v>
      </c>
      <c r="H48" s="25">
        <v>8</v>
      </c>
      <c r="I48" s="25">
        <v>3336</v>
      </c>
      <c r="J48" s="25">
        <v>1</v>
      </c>
      <c r="K48" s="25">
        <f t="shared" ref="K48:K50" si="14">((ROUNDUP(MAX($E$43,$D$43/6,500)/100,0)+1)*2+IF(($D$43-MAX($E$43,$D$43/6,500))/200=0,INT(($D$43-MAX($E$43,$D$43/6,500))/200)-1,INT(($D$43-MAX($E$43,$D$43/6,500))/200)))*J48</f>
        <v>29</v>
      </c>
      <c r="L48" s="25">
        <f t="shared" si="13"/>
        <v>29</v>
      </c>
      <c r="M48" s="25">
        <f t="shared" si="1"/>
        <v>38.202270720000008</v>
      </c>
      <c r="N48" s="201"/>
      <c r="O48" s="201"/>
      <c r="P48" s="201"/>
      <c r="Q48" s="189"/>
      <c r="R48" s="189"/>
    </row>
    <row r="49" spans="1:18" x14ac:dyDescent="0.15">
      <c r="A49" s="205"/>
      <c r="B49" s="189"/>
      <c r="C49" s="189"/>
      <c r="D49" s="189"/>
      <c r="E49" s="189"/>
      <c r="F49" s="189"/>
      <c r="G49" s="25">
        <v>7</v>
      </c>
      <c r="H49" s="25">
        <v>8</v>
      </c>
      <c r="I49" s="25">
        <v>1500</v>
      </c>
      <c r="J49" s="25">
        <v>1</v>
      </c>
      <c r="K49" s="25">
        <f t="shared" si="14"/>
        <v>29</v>
      </c>
      <c r="L49" s="25">
        <f t="shared" si="13"/>
        <v>29</v>
      </c>
      <c r="M49" s="25">
        <f t="shared" si="1"/>
        <v>17.177280000000003</v>
      </c>
      <c r="N49" s="201"/>
      <c r="O49" s="201"/>
      <c r="P49" s="201"/>
      <c r="Q49" s="189"/>
      <c r="R49" s="189"/>
    </row>
    <row r="50" spans="1:18" x14ac:dyDescent="0.15">
      <c r="A50" s="205"/>
      <c r="B50" s="189"/>
      <c r="C50" s="189"/>
      <c r="D50" s="189"/>
      <c r="E50" s="189"/>
      <c r="F50" s="189"/>
      <c r="G50" s="25">
        <v>8</v>
      </c>
      <c r="H50" s="25">
        <v>8</v>
      </c>
      <c r="I50" s="25">
        <v>3505</v>
      </c>
      <c r="J50" s="25">
        <v>1</v>
      </c>
      <c r="K50" s="25">
        <f t="shared" si="14"/>
        <v>29</v>
      </c>
      <c r="L50" s="25">
        <f t="shared" si="13"/>
        <v>29</v>
      </c>
      <c r="M50" s="25">
        <f t="shared" si="1"/>
        <v>40.137577600000007</v>
      </c>
      <c r="N50" s="202"/>
      <c r="O50" s="202"/>
      <c r="P50" s="202"/>
      <c r="Q50" s="189"/>
      <c r="R50" s="189"/>
    </row>
    <row r="51" spans="1:18" x14ac:dyDescent="0.15">
      <c r="A51" s="205"/>
      <c r="B51" s="189" t="s">
        <v>59</v>
      </c>
      <c r="C51" s="189">
        <v>1</v>
      </c>
      <c r="D51" s="189">
        <v>3600</v>
      </c>
      <c r="E51" s="189">
        <v>600</v>
      </c>
      <c r="F51" s="189">
        <v>600</v>
      </c>
      <c r="G51" s="25">
        <v>1</v>
      </c>
      <c r="H51" s="25">
        <v>22</v>
      </c>
      <c r="I51" s="25">
        <f>D51</f>
        <v>3600</v>
      </c>
      <c r="J51" s="25">
        <v>4</v>
      </c>
      <c r="K51" s="25">
        <f>J51</f>
        <v>4</v>
      </c>
      <c r="L51" s="25">
        <f>$C$51*K51</f>
        <v>4</v>
      </c>
      <c r="M51" s="25">
        <f t="shared" si="1"/>
        <v>43.002431999999999</v>
      </c>
      <c r="N51" s="203">
        <f>SUM(M51:M57)</f>
        <v>287.46434752000005</v>
      </c>
      <c r="O51" s="203">
        <f>PRODUCT(D51:F57)/10^9</f>
        <v>1.296</v>
      </c>
      <c r="P51" s="203">
        <f>2*(D51*E51+D51*F51)/10^6</f>
        <v>8.64</v>
      </c>
      <c r="Q51" s="189"/>
      <c r="R51" s="189">
        <v>1</v>
      </c>
    </row>
    <row r="52" spans="1:18" x14ac:dyDescent="0.15">
      <c r="A52" s="205"/>
      <c r="B52" s="189"/>
      <c r="C52" s="189"/>
      <c r="D52" s="189"/>
      <c r="E52" s="189"/>
      <c r="F52" s="189"/>
      <c r="G52" s="25">
        <v>2</v>
      </c>
      <c r="H52" s="25">
        <v>18</v>
      </c>
      <c r="I52" s="25">
        <f>D51</f>
        <v>3600</v>
      </c>
      <c r="J52" s="25">
        <v>4</v>
      </c>
      <c r="K52" s="25">
        <f>J52</f>
        <v>4</v>
      </c>
      <c r="L52" s="25">
        <f t="shared" ref="L52:L57" si="15">$C$51*K52</f>
        <v>4</v>
      </c>
      <c r="M52" s="25">
        <f t="shared" si="1"/>
        <v>28.786752000000003</v>
      </c>
      <c r="N52" s="201"/>
      <c r="O52" s="201"/>
      <c r="P52" s="201"/>
      <c r="Q52" s="189"/>
      <c r="R52" s="189"/>
    </row>
    <row r="53" spans="1:18" x14ac:dyDescent="0.15">
      <c r="A53" s="205"/>
      <c r="B53" s="189"/>
      <c r="C53" s="189"/>
      <c r="D53" s="189"/>
      <c r="E53" s="189"/>
      <c r="F53" s="189"/>
      <c r="G53" s="25">
        <v>3</v>
      </c>
      <c r="H53" s="25">
        <v>22</v>
      </c>
      <c r="I53" s="25">
        <f>D51</f>
        <v>3600</v>
      </c>
      <c r="J53" s="25">
        <v>6</v>
      </c>
      <c r="K53" s="25">
        <f>J53</f>
        <v>6</v>
      </c>
      <c r="L53" s="25">
        <f t="shared" si="15"/>
        <v>6</v>
      </c>
      <c r="M53" s="25">
        <f t="shared" si="1"/>
        <v>64.503648000000013</v>
      </c>
      <c r="N53" s="201"/>
      <c r="O53" s="201"/>
      <c r="P53" s="201"/>
      <c r="Q53" s="189"/>
      <c r="R53" s="189"/>
    </row>
    <row r="54" spans="1:18" x14ac:dyDescent="0.15">
      <c r="A54" s="205"/>
      <c r="B54" s="189"/>
      <c r="C54" s="189"/>
      <c r="D54" s="189"/>
      <c r="E54" s="189"/>
      <c r="F54" s="189"/>
      <c r="G54" s="25">
        <v>4</v>
      </c>
      <c r="H54" s="25">
        <v>8</v>
      </c>
      <c r="I54" s="25">
        <v>4860</v>
      </c>
      <c r="J54" s="25">
        <v>1</v>
      </c>
      <c r="K54" s="25">
        <f>((ROUNDUP(MAX($E$51,$D$51/6,500)/100,0)+1)*2+IF(($D$51-MAX($E$51,$D$51/6,500))/200=0,INT(($D$51-MAX($E$51,$D$51/6,500))/200)-1,INT(($D$51-MAX($E$51,$D$51/6,500))/200)))*J54</f>
        <v>29</v>
      </c>
      <c r="L54" s="25">
        <f t="shared" si="15"/>
        <v>29</v>
      </c>
      <c r="M54" s="25">
        <f t="shared" si="1"/>
        <v>55.654387200000009</v>
      </c>
      <c r="N54" s="201"/>
      <c r="O54" s="201"/>
      <c r="P54" s="201"/>
      <c r="Q54" s="189"/>
      <c r="R54" s="189"/>
    </row>
    <row r="55" spans="1:18" x14ac:dyDescent="0.15">
      <c r="A55" s="205"/>
      <c r="B55" s="189"/>
      <c r="C55" s="189"/>
      <c r="D55" s="189"/>
      <c r="E55" s="189"/>
      <c r="F55" s="189"/>
      <c r="G55" s="25">
        <v>5</v>
      </c>
      <c r="H55" s="25">
        <v>8</v>
      </c>
      <c r="I55" s="25">
        <v>3336</v>
      </c>
      <c r="J55" s="25">
        <v>1</v>
      </c>
      <c r="K55" s="25">
        <f t="shared" ref="K55:K57" si="16">((ROUNDUP(MAX($E$51,$D$51/6,500)/100,0)+1)*2+IF(($D$51-MAX($E$51,$D$51/6,500))/200=0,INT(($D$51-MAX($E$51,$D$51/6,500))/200)-1,INT(($D$51-MAX($E$51,$D$51/6,500))/200)))*J55</f>
        <v>29</v>
      </c>
      <c r="L55" s="25">
        <f t="shared" si="15"/>
        <v>29</v>
      </c>
      <c r="M55" s="25">
        <f t="shared" si="1"/>
        <v>38.202270720000008</v>
      </c>
      <c r="N55" s="201"/>
      <c r="O55" s="201"/>
      <c r="P55" s="201"/>
      <c r="Q55" s="189"/>
      <c r="R55" s="189"/>
    </row>
    <row r="56" spans="1:18" x14ac:dyDescent="0.15">
      <c r="A56" s="205"/>
      <c r="B56" s="189"/>
      <c r="C56" s="189"/>
      <c r="D56" s="189"/>
      <c r="E56" s="189"/>
      <c r="F56" s="189"/>
      <c r="G56" s="25">
        <v>6</v>
      </c>
      <c r="H56" s="25">
        <v>8</v>
      </c>
      <c r="I56" s="25">
        <v>1500</v>
      </c>
      <c r="J56" s="25">
        <v>1</v>
      </c>
      <c r="K56" s="25">
        <f t="shared" si="16"/>
        <v>29</v>
      </c>
      <c r="L56" s="25">
        <f t="shared" si="15"/>
        <v>29</v>
      </c>
      <c r="M56" s="25">
        <f t="shared" si="1"/>
        <v>17.177280000000003</v>
      </c>
      <c r="N56" s="201"/>
      <c r="O56" s="201"/>
      <c r="P56" s="201"/>
      <c r="Q56" s="189"/>
      <c r="R56" s="189"/>
    </row>
    <row r="57" spans="1:18" x14ac:dyDescent="0.15">
      <c r="A57" s="205"/>
      <c r="B57" s="189"/>
      <c r="C57" s="189"/>
      <c r="D57" s="189"/>
      <c r="E57" s="189"/>
      <c r="F57" s="189"/>
      <c r="G57" s="25">
        <v>7</v>
      </c>
      <c r="H57" s="25">
        <v>8</v>
      </c>
      <c r="I57" s="25">
        <v>3505</v>
      </c>
      <c r="J57" s="25">
        <v>1</v>
      </c>
      <c r="K57" s="25">
        <f t="shared" si="16"/>
        <v>29</v>
      </c>
      <c r="L57" s="25">
        <f t="shared" si="15"/>
        <v>29</v>
      </c>
      <c r="M57" s="25">
        <f t="shared" si="1"/>
        <v>40.137577600000007</v>
      </c>
      <c r="N57" s="202"/>
      <c r="O57" s="202"/>
      <c r="P57" s="202"/>
      <c r="Q57" s="189"/>
      <c r="R57" s="189"/>
    </row>
    <row r="58" spans="1:18" x14ac:dyDescent="0.15">
      <c r="A58" s="205"/>
      <c r="B58" s="189" t="s">
        <v>60</v>
      </c>
      <c r="C58" s="189">
        <v>1</v>
      </c>
      <c r="D58" s="189">
        <v>3600</v>
      </c>
      <c r="E58" s="189">
        <v>600</v>
      </c>
      <c r="F58" s="189">
        <v>600</v>
      </c>
      <c r="G58" s="25">
        <v>1</v>
      </c>
      <c r="H58" s="25">
        <v>22</v>
      </c>
      <c r="I58" s="25">
        <f>D58</f>
        <v>3600</v>
      </c>
      <c r="J58" s="25">
        <v>4</v>
      </c>
      <c r="K58" s="25">
        <f>J58</f>
        <v>4</v>
      </c>
      <c r="L58" s="25">
        <f>$C$58*K58</f>
        <v>4</v>
      </c>
      <c r="M58" s="25">
        <f t="shared" si="1"/>
        <v>43.002431999999999</v>
      </c>
      <c r="N58" s="203">
        <f>SUM(M58:M64)</f>
        <v>287.40708992000003</v>
      </c>
      <c r="O58" s="203">
        <f>PRODUCT(D58:F64)/10^9</f>
        <v>1.296</v>
      </c>
      <c r="P58" s="203">
        <f>2*(D58*E58+D58*F58)/10^6</f>
        <v>8.64</v>
      </c>
      <c r="Q58" s="189"/>
      <c r="R58" s="189">
        <v>1</v>
      </c>
    </row>
    <row r="59" spans="1:18" x14ac:dyDescent="0.15">
      <c r="A59" s="205"/>
      <c r="B59" s="189"/>
      <c r="C59" s="189"/>
      <c r="D59" s="189"/>
      <c r="E59" s="189"/>
      <c r="F59" s="189"/>
      <c r="G59" s="25">
        <v>2</v>
      </c>
      <c r="H59" s="25">
        <v>18</v>
      </c>
      <c r="I59" s="25">
        <f>D58</f>
        <v>3600</v>
      </c>
      <c r="J59" s="25">
        <v>4</v>
      </c>
      <c r="K59" s="25">
        <f>J59</f>
        <v>4</v>
      </c>
      <c r="L59" s="25">
        <f t="shared" ref="L59:L64" si="17">$C$58*K59</f>
        <v>4</v>
      </c>
      <c r="M59" s="25">
        <f t="shared" si="1"/>
        <v>28.786752000000003</v>
      </c>
      <c r="N59" s="201"/>
      <c r="O59" s="201"/>
      <c r="P59" s="201"/>
      <c r="Q59" s="189"/>
      <c r="R59" s="189"/>
    </row>
    <row r="60" spans="1:18" x14ac:dyDescent="0.15">
      <c r="A60" s="205"/>
      <c r="B60" s="189"/>
      <c r="C60" s="189"/>
      <c r="D60" s="189"/>
      <c r="E60" s="189"/>
      <c r="F60" s="189"/>
      <c r="G60" s="25">
        <v>3</v>
      </c>
      <c r="H60" s="25">
        <v>22</v>
      </c>
      <c r="I60" s="25">
        <f>D58</f>
        <v>3600</v>
      </c>
      <c r="J60" s="25">
        <v>6</v>
      </c>
      <c r="K60" s="25">
        <f>J60</f>
        <v>6</v>
      </c>
      <c r="L60" s="25">
        <f t="shared" si="17"/>
        <v>6</v>
      </c>
      <c r="M60" s="25">
        <f t="shared" si="1"/>
        <v>64.503648000000013</v>
      </c>
      <c r="N60" s="201"/>
      <c r="O60" s="201"/>
      <c r="P60" s="201"/>
      <c r="Q60" s="189"/>
      <c r="R60" s="189"/>
    </row>
    <row r="61" spans="1:18" x14ac:dyDescent="0.15">
      <c r="A61" s="205"/>
      <c r="B61" s="189"/>
      <c r="C61" s="189"/>
      <c r="D61" s="189"/>
      <c r="E61" s="189"/>
      <c r="F61" s="189"/>
      <c r="G61" s="25">
        <v>4</v>
      </c>
      <c r="H61" s="25">
        <v>8</v>
      </c>
      <c r="I61" s="25">
        <v>4860</v>
      </c>
      <c r="J61" s="25">
        <v>1</v>
      </c>
      <c r="K61" s="25">
        <f>((ROUNDUP(MAX($E$58,$D$58/6,500)/100,0)+1)*2+IF(($D$58-MAX($E$58,$D$58/6,500))/200=0,($D$58-MAX($E$58,$D$58/6,500))/200-1,($D$58-MAX($E$58,$D$58/6,500))/200))*J61</f>
        <v>29</v>
      </c>
      <c r="L61" s="25">
        <f t="shared" si="17"/>
        <v>29</v>
      </c>
      <c r="M61" s="25">
        <f t="shared" si="1"/>
        <v>55.654387200000009</v>
      </c>
      <c r="N61" s="201"/>
      <c r="O61" s="201"/>
      <c r="P61" s="201"/>
      <c r="Q61" s="189"/>
      <c r="R61" s="189"/>
    </row>
    <row r="62" spans="1:18" x14ac:dyDescent="0.15">
      <c r="A62" s="205"/>
      <c r="B62" s="189"/>
      <c r="C62" s="189"/>
      <c r="D62" s="189"/>
      <c r="E62" s="189"/>
      <c r="F62" s="189"/>
      <c r="G62" s="25">
        <v>5</v>
      </c>
      <c r="H62" s="25">
        <v>8</v>
      </c>
      <c r="I62" s="25">
        <v>3336</v>
      </c>
      <c r="J62" s="25">
        <v>1</v>
      </c>
      <c r="K62" s="25">
        <f>((ROUNDUP(MAX($E$58,$D$58/6,500)/100,0)+1)*2+IF(($D$58-MAX($E$58,$D$58/6,500))/200=0,INT(($D$58-MAX($E$58,$D$58/6,500))/200)-1,INT(($D$58-MAX($E$58,$D$58/6,500))/200)))*J62</f>
        <v>29</v>
      </c>
      <c r="L62" s="25">
        <f t="shared" si="17"/>
        <v>29</v>
      </c>
      <c r="M62" s="25">
        <f t="shared" si="1"/>
        <v>38.202270720000008</v>
      </c>
      <c r="N62" s="201"/>
      <c r="O62" s="201"/>
      <c r="P62" s="201"/>
      <c r="Q62" s="189"/>
      <c r="R62" s="189"/>
    </row>
    <row r="63" spans="1:18" x14ac:dyDescent="0.15">
      <c r="A63" s="205"/>
      <c r="B63" s="189"/>
      <c r="C63" s="189"/>
      <c r="D63" s="189"/>
      <c r="E63" s="189"/>
      <c r="F63" s="189"/>
      <c r="G63" s="25">
        <v>6</v>
      </c>
      <c r="H63" s="25">
        <v>8</v>
      </c>
      <c r="I63" s="25">
        <v>1500</v>
      </c>
      <c r="J63" s="25">
        <v>1</v>
      </c>
      <c r="K63" s="25">
        <f t="shared" ref="K63:K64" si="18">((ROUNDUP(MAX($E$58,$D$58/6,500)/100,0)+1)*2+IF(($D$58-MAX($E$58,$D$58/6,500))/200=0,INT(($D$58-MAX($E$58,$D$58/6,500))/200)-1,INT(($D$58-MAX($E$58,$D$58/6,500))/200)))*J63</f>
        <v>29</v>
      </c>
      <c r="L63" s="25">
        <f t="shared" si="17"/>
        <v>29</v>
      </c>
      <c r="M63" s="25">
        <f t="shared" si="1"/>
        <v>17.177280000000003</v>
      </c>
      <c r="N63" s="201"/>
      <c r="O63" s="201"/>
      <c r="P63" s="201"/>
      <c r="Q63" s="189"/>
      <c r="R63" s="189"/>
    </row>
    <row r="64" spans="1:18" x14ac:dyDescent="0.15">
      <c r="A64" s="205"/>
      <c r="B64" s="189"/>
      <c r="C64" s="189"/>
      <c r="D64" s="189"/>
      <c r="E64" s="189"/>
      <c r="F64" s="189"/>
      <c r="G64" s="25">
        <v>7</v>
      </c>
      <c r="H64" s="25">
        <v>8</v>
      </c>
      <c r="I64" s="25">
        <v>3500</v>
      </c>
      <c r="J64" s="25">
        <v>1</v>
      </c>
      <c r="K64" s="25">
        <f t="shared" si="18"/>
        <v>29</v>
      </c>
      <c r="L64" s="25">
        <f t="shared" si="17"/>
        <v>29</v>
      </c>
      <c r="M64" s="25">
        <f t="shared" si="1"/>
        <v>40.080320000000007</v>
      </c>
      <c r="N64" s="202"/>
      <c r="O64" s="202"/>
      <c r="P64" s="202"/>
      <c r="Q64" s="189"/>
      <c r="R64" s="189"/>
    </row>
    <row r="65" spans="1:18" x14ac:dyDescent="0.15">
      <c r="A65" s="205"/>
      <c r="B65" s="189" t="s">
        <v>61</v>
      </c>
      <c r="C65" s="189">
        <v>1</v>
      </c>
      <c r="D65" s="189">
        <v>3600</v>
      </c>
      <c r="E65" s="189">
        <v>600</v>
      </c>
      <c r="F65" s="189">
        <v>600</v>
      </c>
      <c r="G65" s="25">
        <v>1</v>
      </c>
      <c r="H65" s="25">
        <v>20</v>
      </c>
      <c r="I65" s="25">
        <f>D65</f>
        <v>3600</v>
      </c>
      <c r="J65" s="25">
        <v>4</v>
      </c>
      <c r="K65" s="25">
        <f>J65</f>
        <v>4</v>
      </c>
      <c r="L65" s="25">
        <f>$C$65*K65</f>
        <v>4</v>
      </c>
      <c r="M65" s="25">
        <f t="shared" si="1"/>
        <v>35.539199999999994</v>
      </c>
      <c r="N65" s="203">
        <f>SUM(M65:M72)</f>
        <v>255.95489792000001</v>
      </c>
      <c r="O65" s="203">
        <f>PRODUCT(D65:F72)/10^9</f>
        <v>1.296</v>
      </c>
      <c r="P65" s="203">
        <f>2*(D65*E65+D65*F65)/10^6</f>
        <v>8.64</v>
      </c>
      <c r="Q65" s="189"/>
      <c r="R65" s="189">
        <v>1</v>
      </c>
    </row>
    <row r="66" spans="1:18" x14ac:dyDescent="0.15">
      <c r="A66" s="205"/>
      <c r="B66" s="189"/>
      <c r="C66" s="189"/>
      <c r="D66" s="189"/>
      <c r="E66" s="189"/>
      <c r="F66" s="189"/>
      <c r="G66" s="25">
        <v>2</v>
      </c>
      <c r="H66" s="25">
        <v>16</v>
      </c>
      <c r="I66" s="25">
        <f>D65</f>
        <v>3600</v>
      </c>
      <c r="J66" s="25">
        <v>4</v>
      </c>
      <c r="K66" s="25">
        <f>J66</f>
        <v>4</v>
      </c>
      <c r="L66" s="25">
        <f t="shared" ref="L66:L71" si="19">$C$65*K66</f>
        <v>4</v>
      </c>
      <c r="M66" s="25">
        <f t="shared" si="1"/>
        <v>22.745088000000003</v>
      </c>
      <c r="N66" s="201"/>
      <c r="O66" s="201"/>
      <c r="P66" s="201"/>
      <c r="Q66" s="189"/>
      <c r="R66" s="189"/>
    </row>
    <row r="67" spans="1:18" x14ac:dyDescent="0.15">
      <c r="A67" s="205"/>
      <c r="B67" s="189"/>
      <c r="C67" s="189"/>
      <c r="D67" s="189"/>
      <c r="E67" s="189"/>
      <c r="F67" s="189"/>
      <c r="G67" s="25">
        <v>3</v>
      </c>
      <c r="H67" s="25">
        <v>20</v>
      </c>
      <c r="I67" s="25">
        <f>D65</f>
        <v>3600</v>
      </c>
      <c r="J67" s="25">
        <v>2</v>
      </c>
      <c r="K67" s="25">
        <f>J67</f>
        <v>2</v>
      </c>
      <c r="L67" s="25">
        <f t="shared" si="19"/>
        <v>2</v>
      </c>
      <c r="M67" s="25">
        <f t="shared" si="1"/>
        <v>17.769599999999997</v>
      </c>
      <c r="N67" s="201"/>
      <c r="O67" s="201"/>
      <c r="P67" s="201"/>
      <c r="Q67" s="189"/>
      <c r="R67" s="189"/>
    </row>
    <row r="68" spans="1:18" x14ac:dyDescent="0.15">
      <c r="A68" s="205"/>
      <c r="B68" s="189"/>
      <c r="C68" s="189"/>
      <c r="D68" s="189"/>
      <c r="E68" s="189"/>
      <c r="F68" s="189"/>
      <c r="G68" s="25">
        <v>4</v>
      </c>
      <c r="H68" s="25">
        <v>18</v>
      </c>
      <c r="I68" s="25">
        <f>D65</f>
        <v>3600</v>
      </c>
      <c r="J68" s="25">
        <v>4</v>
      </c>
      <c r="K68" s="25">
        <f>J68</f>
        <v>4</v>
      </c>
      <c r="L68" s="25">
        <f t="shared" si="19"/>
        <v>4</v>
      </c>
      <c r="M68" s="25">
        <f t="shared" ref="M68:M103" si="20">K68*(H68/10)^2*0.617*I68/1000</f>
        <v>28.786752000000003</v>
      </c>
      <c r="N68" s="201"/>
      <c r="O68" s="201"/>
      <c r="P68" s="201"/>
      <c r="Q68" s="189"/>
      <c r="R68" s="189"/>
    </row>
    <row r="69" spans="1:18" x14ac:dyDescent="0.15">
      <c r="A69" s="205"/>
      <c r="B69" s="189"/>
      <c r="C69" s="189"/>
      <c r="D69" s="189"/>
      <c r="E69" s="189"/>
      <c r="F69" s="189"/>
      <c r="G69" s="25">
        <v>5</v>
      </c>
      <c r="H69" s="25">
        <v>8</v>
      </c>
      <c r="I69" s="25">
        <v>4860</v>
      </c>
      <c r="J69" s="25">
        <v>1</v>
      </c>
      <c r="K69" s="25">
        <f>((ROUNDUP(MAX($E$65,$D$65/6,500)/100,0)+1)*2+IF(($D$65-MAX($E$65,$D$65/6,500))/200=0,INT(($D$65-MAX($E$65,$D$65/6,500))/200)-1,INT(($D$65-MAX($E$65,$D$65/6,500))/200)))*J69</f>
        <v>29</v>
      </c>
      <c r="L69" s="25">
        <f t="shared" si="19"/>
        <v>29</v>
      </c>
      <c r="M69" s="25">
        <f t="shared" si="20"/>
        <v>55.654387200000009</v>
      </c>
      <c r="N69" s="201"/>
      <c r="O69" s="201"/>
      <c r="P69" s="201"/>
      <c r="Q69" s="189"/>
      <c r="R69" s="189"/>
    </row>
    <row r="70" spans="1:18" x14ac:dyDescent="0.15">
      <c r="A70" s="205"/>
      <c r="B70" s="189"/>
      <c r="C70" s="189"/>
      <c r="D70" s="189"/>
      <c r="E70" s="189"/>
      <c r="F70" s="189"/>
      <c r="G70" s="25">
        <v>6</v>
      </c>
      <c r="H70" s="25">
        <v>8</v>
      </c>
      <c r="I70" s="25">
        <v>3336</v>
      </c>
      <c r="J70" s="25">
        <v>1</v>
      </c>
      <c r="K70" s="25">
        <f t="shared" ref="K70:K72" si="21">((ROUNDUP(MAX($E$65,$D$65/6,500)/100,0)+1)*2+IF(($D$65-MAX($E$65,$D$65/6,500))/200=0,INT(($D$65-MAX($E$65,$D$65/6,500))/200)-1,INT(($D$65-MAX($E$65,$D$65/6,500))/200)))*J70</f>
        <v>29</v>
      </c>
      <c r="L70" s="25">
        <f t="shared" si="19"/>
        <v>29</v>
      </c>
      <c r="M70" s="25">
        <f t="shared" si="20"/>
        <v>38.202270720000008</v>
      </c>
      <c r="N70" s="201"/>
      <c r="O70" s="201"/>
      <c r="P70" s="201"/>
      <c r="Q70" s="189"/>
      <c r="R70" s="189"/>
    </row>
    <row r="71" spans="1:18" x14ac:dyDescent="0.15">
      <c r="A71" s="205"/>
      <c r="B71" s="189"/>
      <c r="C71" s="189"/>
      <c r="D71" s="189"/>
      <c r="E71" s="189"/>
      <c r="F71" s="189"/>
      <c r="G71" s="25">
        <v>7</v>
      </c>
      <c r="H71" s="25">
        <v>8</v>
      </c>
      <c r="I71" s="25">
        <v>1500</v>
      </c>
      <c r="J71" s="25">
        <v>1</v>
      </c>
      <c r="K71" s="25">
        <f t="shared" si="21"/>
        <v>29</v>
      </c>
      <c r="L71" s="25">
        <f t="shared" si="19"/>
        <v>29</v>
      </c>
      <c r="M71" s="25">
        <f t="shared" si="20"/>
        <v>17.177280000000003</v>
      </c>
      <c r="N71" s="201"/>
      <c r="O71" s="201"/>
      <c r="P71" s="201"/>
      <c r="Q71" s="189"/>
      <c r="R71" s="189"/>
    </row>
    <row r="72" spans="1:18" x14ac:dyDescent="0.15">
      <c r="A72" s="205"/>
      <c r="B72" s="189"/>
      <c r="C72" s="189"/>
      <c r="D72" s="189"/>
      <c r="E72" s="189"/>
      <c r="F72" s="189"/>
      <c r="G72" s="25">
        <v>8</v>
      </c>
      <c r="H72" s="25">
        <v>8</v>
      </c>
      <c r="I72" s="25">
        <v>3500</v>
      </c>
      <c r="J72" s="25">
        <v>1</v>
      </c>
      <c r="K72" s="25">
        <f t="shared" si="21"/>
        <v>29</v>
      </c>
      <c r="L72" s="25">
        <f>$C$65*K72</f>
        <v>29</v>
      </c>
      <c r="M72" s="25">
        <f t="shared" si="20"/>
        <v>40.080320000000007</v>
      </c>
      <c r="N72" s="202"/>
      <c r="O72" s="202"/>
      <c r="P72" s="202"/>
      <c r="Q72" s="189"/>
      <c r="R72" s="189"/>
    </row>
    <row r="73" spans="1:18" x14ac:dyDescent="0.15">
      <c r="A73" s="207" t="s">
        <v>66</v>
      </c>
      <c r="B73" s="189" t="s">
        <v>67</v>
      </c>
      <c r="C73" s="189">
        <v>1</v>
      </c>
      <c r="D73" s="189">
        <v>3150</v>
      </c>
      <c r="E73" s="189">
        <v>500</v>
      </c>
      <c r="F73" s="189">
        <v>500</v>
      </c>
      <c r="G73" s="25">
        <v>1</v>
      </c>
      <c r="H73" s="25">
        <v>16</v>
      </c>
      <c r="I73" s="25">
        <f>D73</f>
        <v>3150</v>
      </c>
      <c r="J73" s="25">
        <v>12</v>
      </c>
      <c r="K73" s="25">
        <f>J73</f>
        <v>12</v>
      </c>
      <c r="L73" s="25">
        <f>$C$73*K73</f>
        <v>12</v>
      </c>
      <c r="M73" s="25">
        <f t="shared" si="20"/>
        <v>59.705856000000004</v>
      </c>
      <c r="N73" s="203">
        <f>SUM(M73:M75)</f>
        <v>166.02492672000002</v>
      </c>
      <c r="O73" s="203">
        <f>PRODUCT(D73:F75)/10^9</f>
        <v>0.78749999999999998</v>
      </c>
      <c r="P73" s="203">
        <f>2*(D73*E73+D73*F73)/10^6</f>
        <v>6.3</v>
      </c>
      <c r="Q73" s="189">
        <v>1</v>
      </c>
      <c r="R73" s="189"/>
    </row>
    <row r="74" spans="1:18" x14ac:dyDescent="0.15">
      <c r="A74" s="207"/>
      <c r="B74" s="189"/>
      <c r="C74" s="189"/>
      <c r="D74" s="189"/>
      <c r="E74" s="189"/>
      <c r="F74" s="189"/>
      <c r="G74" s="25">
        <v>2</v>
      </c>
      <c r="H74" s="25">
        <v>8</v>
      </c>
      <c r="I74" s="25">
        <v>4060</v>
      </c>
      <c r="J74" s="25">
        <v>1</v>
      </c>
      <c r="K74" s="25">
        <f>((ROUNDUP(MAX($E$73,$D$73/6,500)/100,0)+1)*2+IF(($D$73-MAX($E$73,$D$73/6,500))/200=0,INT(($D$73-MAX($E$73,$D$73/6,500))/200)-1,INT(($D$73-MAX($E$73,$D$73/6,500))/200)))*J74</f>
        <v>27</v>
      </c>
      <c r="L74" s="25">
        <f t="shared" ref="L74:L75" si="22">$C$73*K74</f>
        <v>27</v>
      </c>
      <c r="M74" s="25">
        <f t="shared" si="20"/>
        <v>43.28674560000001</v>
      </c>
      <c r="N74" s="201"/>
      <c r="O74" s="201"/>
      <c r="P74" s="201"/>
      <c r="Q74" s="189"/>
      <c r="R74" s="189"/>
    </row>
    <row r="75" spans="1:18" x14ac:dyDescent="0.15">
      <c r="A75" s="207"/>
      <c r="B75" s="189"/>
      <c r="C75" s="189"/>
      <c r="D75" s="189"/>
      <c r="E75" s="189"/>
      <c r="F75" s="189"/>
      <c r="G75" s="25">
        <v>3</v>
      </c>
      <c r="H75" s="25">
        <v>8</v>
      </c>
      <c r="I75" s="25">
        <v>2956</v>
      </c>
      <c r="J75" s="25">
        <v>2</v>
      </c>
      <c r="K75" s="25">
        <f>((ROUNDUP(MAX($E$73,$D$73/6,500)/100,0)+1)*2+IF(($D$73-MAX($E$73,$D$73/6,500))/200=0,INT(($D$73-MAX($E$73,$D$73/6,500))/200)-1,INT(($D$73-MAX($E$73,$D$73/6,500))/200)))*J75</f>
        <v>54</v>
      </c>
      <c r="L75" s="25">
        <f t="shared" si="22"/>
        <v>54</v>
      </c>
      <c r="M75" s="25">
        <f t="shared" si="20"/>
        <v>63.032325120000017</v>
      </c>
      <c r="N75" s="202"/>
      <c r="O75" s="202"/>
      <c r="P75" s="202"/>
      <c r="Q75" s="189"/>
      <c r="R75" s="189"/>
    </row>
    <row r="76" spans="1:18" x14ac:dyDescent="0.15">
      <c r="A76" s="207"/>
      <c r="B76" s="189" t="s">
        <v>69</v>
      </c>
      <c r="C76" s="189">
        <v>2</v>
      </c>
      <c r="D76" s="189">
        <v>3150</v>
      </c>
      <c r="E76" s="189">
        <v>500</v>
      </c>
      <c r="F76" s="189">
        <v>500</v>
      </c>
      <c r="G76" s="25">
        <v>1</v>
      </c>
      <c r="H76" s="25">
        <v>16</v>
      </c>
      <c r="I76" s="25">
        <f>D76</f>
        <v>3150</v>
      </c>
      <c r="J76" s="25">
        <v>12</v>
      </c>
      <c r="K76" s="25">
        <f>J76</f>
        <v>12</v>
      </c>
      <c r="L76" s="25">
        <f>$C$76*K76</f>
        <v>24</v>
      </c>
      <c r="M76" s="25">
        <f t="shared" si="20"/>
        <v>59.705856000000004</v>
      </c>
      <c r="N76" s="203">
        <f>SUM(M76:M78)</f>
        <v>166.02492672000002</v>
      </c>
      <c r="O76" s="203">
        <f>PRODUCT(D76:F78)/10^9</f>
        <v>0.78749999999999998</v>
      </c>
      <c r="P76" s="203">
        <f>2*(D76*E76+D76*F76)/10^6</f>
        <v>6.3</v>
      </c>
      <c r="Q76" s="189">
        <v>2</v>
      </c>
      <c r="R76" s="189"/>
    </row>
    <row r="77" spans="1:18" x14ac:dyDescent="0.15">
      <c r="A77" s="207"/>
      <c r="B77" s="189"/>
      <c r="C77" s="189"/>
      <c r="D77" s="189"/>
      <c r="E77" s="189"/>
      <c r="F77" s="189"/>
      <c r="G77" s="25">
        <v>2</v>
      </c>
      <c r="H77" s="25">
        <v>8</v>
      </c>
      <c r="I77" s="25">
        <v>4060</v>
      </c>
      <c r="J77" s="25">
        <v>1</v>
      </c>
      <c r="K77" s="25">
        <f>((ROUNDUP(MAX($E$76,$D$76/6,500)/100,0)+1)*2+IF(($D$76-MAX($E$76,$D$76/6,500))/200=0,INT(($D$76-MAX($E$76,$D$76/6,500))/200)-1,INT(($D$76-MAX($E$76,$D$76/6,500))/200)))*J77</f>
        <v>27</v>
      </c>
      <c r="L77" s="25">
        <f t="shared" ref="L77:L78" si="23">$C$76*K77</f>
        <v>54</v>
      </c>
      <c r="M77" s="25">
        <f t="shared" si="20"/>
        <v>43.28674560000001</v>
      </c>
      <c r="N77" s="201"/>
      <c r="O77" s="201"/>
      <c r="P77" s="201"/>
      <c r="Q77" s="189"/>
      <c r="R77" s="189"/>
    </row>
    <row r="78" spans="1:18" x14ac:dyDescent="0.15">
      <c r="A78" s="207"/>
      <c r="B78" s="189"/>
      <c r="C78" s="189"/>
      <c r="D78" s="189"/>
      <c r="E78" s="189"/>
      <c r="F78" s="189"/>
      <c r="G78" s="25">
        <v>3</v>
      </c>
      <c r="H78" s="25">
        <v>8</v>
      </c>
      <c r="I78" s="25">
        <v>2956</v>
      </c>
      <c r="J78" s="25">
        <v>2</v>
      </c>
      <c r="K78" s="25">
        <f>((ROUNDUP(MAX($E$73,$D$73/6,500)/100,0)+1)*2+IF(($D$73-MAX($E$73,$D$73/6,500))/200=0,INT(($D$73-MAX($E$73,$D$73/6,500))/200)-1,INT(($D$73-MAX($E$73,$D$73/6,500))/200)))*J78</f>
        <v>54</v>
      </c>
      <c r="L78" s="25">
        <f t="shared" si="23"/>
        <v>108</v>
      </c>
      <c r="M78" s="25">
        <f t="shared" si="20"/>
        <v>63.032325120000017</v>
      </c>
      <c r="N78" s="202"/>
      <c r="O78" s="202"/>
      <c r="P78" s="202"/>
      <c r="Q78" s="189"/>
      <c r="R78" s="189"/>
    </row>
    <row r="79" spans="1:18" x14ac:dyDescent="0.15">
      <c r="A79" s="207"/>
      <c r="B79" s="189" t="s">
        <v>70</v>
      </c>
      <c r="C79" s="189">
        <v>1</v>
      </c>
      <c r="D79" s="189">
        <v>3150</v>
      </c>
      <c r="E79" s="189">
        <v>500</v>
      </c>
      <c r="F79" s="189">
        <v>500</v>
      </c>
      <c r="G79" s="25">
        <v>1</v>
      </c>
      <c r="H79" s="25">
        <v>16</v>
      </c>
      <c r="I79" s="25">
        <f>D79</f>
        <v>3150</v>
      </c>
      <c r="J79" s="25">
        <v>12</v>
      </c>
      <c r="K79" s="25">
        <f>J79</f>
        <v>12</v>
      </c>
      <c r="L79" s="25">
        <f>$C$79*K79</f>
        <v>12</v>
      </c>
      <c r="M79" s="25">
        <f t="shared" si="20"/>
        <v>59.705856000000004</v>
      </c>
      <c r="N79" s="203">
        <f>SUM(M79:M81)</f>
        <v>166.02492672000002</v>
      </c>
      <c r="O79" s="203">
        <f>PRODUCT(D79:F81)/10^9</f>
        <v>0.78749999999999998</v>
      </c>
      <c r="P79" s="203">
        <f>2*(D79*E79+D79*F79)/10^6</f>
        <v>6.3</v>
      </c>
      <c r="Q79" s="189">
        <v>1</v>
      </c>
      <c r="R79" s="189"/>
    </row>
    <row r="80" spans="1:18" x14ac:dyDescent="0.15">
      <c r="A80" s="207"/>
      <c r="B80" s="189"/>
      <c r="C80" s="189"/>
      <c r="D80" s="189"/>
      <c r="E80" s="189"/>
      <c r="F80" s="189"/>
      <c r="G80" s="25">
        <v>2</v>
      </c>
      <c r="H80" s="25">
        <v>8</v>
      </c>
      <c r="I80" s="25">
        <v>4060</v>
      </c>
      <c r="J80" s="25">
        <v>1</v>
      </c>
      <c r="K80" s="25">
        <f>((ROUNDUP(MAX($E$79,$D$79/6,500)/100,0)+1)*2+IF(($D$79-MAX($E$79,$D$79/6,500))/200=0,INT(($D$79-MAX($E$79,$D$79/6,500))/200)-1,INT(($D$79-MAX($E$79,$D$79/6,500))/200)))*J80</f>
        <v>27</v>
      </c>
      <c r="L80" s="25">
        <f t="shared" ref="L80:L81" si="24">$C$79*K80</f>
        <v>27</v>
      </c>
      <c r="M80" s="25">
        <f t="shared" si="20"/>
        <v>43.28674560000001</v>
      </c>
      <c r="N80" s="201"/>
      <c r="O80" s="201"/>
      <c r="P80" s="201"/>
      <c r="Q80" s="189"/>
      <c r="R80" s="189"/>
    </row>
    <row r="81" spans="1:18" x14ac:dyDescent="0.15">
      <c r="A81" s="207"/>
      <c r="B81" s="189"/>
      <c r="C81" s="189"/>
      <c r="D81" s="189"/>
      <c r="E81" s="189"/>
      <c r="F81" s="189"/>
      <c r="G81" s="25">
        <v>3</v>
      </c>
      <c r="H81" s="25">
        <v>8</v>
      </c>
      <c r="I81" s="25">
        <v>2956</v>
      </c>
      <c r="J81" s="25">
        <v>2</v>
      </c>
      <c r="K81" s="25">
        <f>((ROUNDUP(MAX($E$79,$D$79/6,500)/100,0)+1)*2+IF(($D$79-MAX($E$79,$D$79/6,500))/200=0,INT(($D$79-MAX($E$79,$D$79/6,500))/200)-1,INT(($D$79-MAX($E$79,$D$79/6,500))/200)))*J81</f>
        <v>54</v>
      </c>
      <c r="L81" s="25">
        <f t="shared" si="24"/>
        <v>54</v>
      </c>
      <c r="M81" s="25">
        <f t="shared" si="20"/>
        <v>63.032325120000017</v>
      </c>
      <c r="N81" s="202"/>
      <c r="O81" s="202"/>
      <c r="P81" s="202"/>
      <c r="Q81" s="189"/>
      <c r="R81" s="189"/>
    </row>
    <row r="82" spans="1:18" x14ac:dyDescent="0.15">
      <c r="A82" s="207"/>
      <c r="B82" s="189" t="s">
        <v>71</v>
      </c>
      <c r="C82" s="189">
        <v>5</v>
      </c>
      <c r="D82" s="189">
        <v>3150</v>
      </c>
      <c r="E82" s="189">
        <v>500</v>
      </c>
      <c r="F82" s="189">
        <v>500</v>
      </c>
      <c r="G82" s="25">
        <v>1</v>
      </c>
      <c r="H82" s="25">
        <v>16</v>
      </c>
      <c r="I82" s="25">
        <f>D82</f>
        <v>3150</v>
      </c>
      <c r="J82" s="25">
        <v>12</v>
      </c>
      <c r="K82" s="25">
        <f>J82</f>
        <v>12</v>
      </c>
      <c r="L82" s="25">
        <f>$C$82*K82</f>
        <v>60</v>
      </c>
      <c r="M82" s="25">
        <f t="shared" si="20"/>
        <v>59.705856000000004</v>
      </c>
      <c r="N82" s="203">
        <f>SUM(M82:M84)</f>
        <v>166.02492672000002</v>
      </c>
      <c r="O82" s="203">
        <f>PRODUCT(D82:F84)/10^9</f>
        <v>0.78749999999999998</v>
      </c>
      <c r="P82" s="203">
        <f>2*(D82*E82+D82*F82)/10^6</f>
        <v>6.3</v>
      </c>
      <c r="Q82" s="189">
        <v>3</v>
      </c>
      <c r="R82" s="189">
        <v>2</v>
      </c>
    </row>
    <row r="83" spans="1:18" x14ac:dyDescent="0.15">
      <c r="A83" s="207"/>
      <c r="B83" s="189"/>
      <c r="C83" s="189"/>
      <c r="D83" s="189"/>
      <c r="E83" s="189"/>
      <c r="F83" s="189"/>
      <c r="G83" s="25">
        <v>2</v>
      </c>
      <c r="H83" s="25">
        <v>8</v>
      </c>
      <c r="I83" s="25">
        <v>4060</v>
      </c>
      <c r="J83" s="25">
        <v>1</v>
      </c>
      <c r="K83" s="25">
        <f>((ROUNDUP(MAX($E$82,$D$82/6,500)/100,0)+1)*2+IF(($D$82-MAX($E$82,$D$82/6,500))/200=0,INT(($D$82-MAX($E$82,$D$82/6,500))/200)-1,INT(($D$82-MAX($E$82,$D$82/6,500))/200)))*J83</f>
        <v>27</v>
      </c>
      <c r="L83" s="25">
        <f t="shared" ref="L83:L84" si="25">$C$82*K83</f>
        <v>135</v>
      </c>
      <c r="M83" s="25">
        <f t="shared" si="20"/>
        <v>43.28674560000001</v>
      </c>
      <c r="N83" s="201"/>
      <c r="O83" s="201"/>
      <c r="P83" s="201"/>
      <c r="Q83" s="189"/>
      <c r="R83" s="189"/>
    </row>
    <row r="84" spans="1:18" x14ac:dyDescent="0.15">
      <c r="A84" s="207"/>
      <c r="B84" s="189"/>
      <c r="C84" s="189"/>
      <c r="D84" s="189"/>
      <c r="E84" s="189"/>
      <c r="F84" s="189"/>
      <c r="G84" s="25">
        <v>3</v>
      </c>
      <c r="H84" s="25">
        <v>8</v>
      </c>
      <c r="I84" s="25">
        <v>2956</v>
      </c>
      <c r="J84" s="25">
        <v>2</v>
      </c>
      <c r="K84" s="25">
        <f>((ROUNDUP(MAX($E$82,$D$82/6,500)/100,0)+1)*2+IF(($D$82-MAX($E$82,$D$82/6,500))/200=0,INT(($D$82-MAX($E$82,$D$82/6,500))/200)-1,INT(($D$82-MAX($E$82,$D$82/6,500))/200)))*J84</f>
        <v>54</v>
      </c>
      <c r="L84" s="25">
        <f t="shared" si="25"/>
        <v>270</v>
      </c>
      <c r="M84" s="25">
        <f t="shared" si="20"/>
        <v>63.032325120000017</v>
      </c>
      <c r="N84" s="202"/>
      <c r="O84" s="202"/>
      <c r="P84" s="202"/>
      <c r="Q84" s="189"/>
      <c r="R84" s="189"/>
    </row>
    <row r="85" spans="1:18" x14ac:dyDescent="0.15">
      <c r="A85" s="207"/>
      <c r="B85" s="189" t="s">
        <v>72</v>
      </c>
      <c r="C85" s="189">
        <v>10</v>
      </c>
      <c r="D85" s="189">
        <v>3150</v>
      </c>
      <c r="E85" s="189">
        <v>500</v>
      </c>
      <c r="F85" s="189">
        <v>500</v>
      </c>
      <c r="G85" s="25">
        <v>1</v>
      </c>
      <c r="H85" s="25">
        <v>16</v>
      </c>
      <c r="I85" s="25">
        <f>D85</f>
        <v>3150</v>
      </c>
      <c r="J85" s="25">
        <v>12</v>
      </c>
      <c r="K85" s="25">
        <f>J85</f>
        <v>12</v>
      </c>
      <c r="L85" s="25">
        <f>$C$85*K85</f>
        <v>120</v>
      </c>
      <c r="M85" s="25">
        <f t="shared" si="20"/>
        <v>59.705856000000004</v>
      </c>
      <c r="N85" s="203">
        <f>SUM(M85:M87)</f>
        <v>166.02492672000002</v>
      </c>
      <c r="O85" s="203">
        <f>PRODUCT(D85:F87)/10^9</f>
        <v>0.78749999999999998</v>
      </c>
      <c r="P85" s="203">
        <f>2*(D85*E85+D85*F85)/10^6</f>
        <v>6.3</v>
      </c>
      <c r="Q85" s="189">
        <v>6</v>
      </c>
      <c r="R85" s="189">
        <v>4</v>
      </c>
    </row>
    <row r="86" spans="1:18" x14ac:dyDescent="0.15">
      <c r="A86" s="207"/>
      <c r="B86" s="189"/>
      <c r="C86" s="189"/>
      <c r="D86" s="189"/>
      <c r="E86" s="189"/>
      <c r="F86" s="189"/>
      <c r="G86" s="25">
        <v>2</v>
      </c>
      <c r="H86" s="25">
        <v>8</v>
      </c>
      <c r="I86" s="25">
        <v>4060</v>
      </c>
      <c r="J86" s="25">
        <v>1</v>
      </c>
      <c r="K86" s="25">
        <f>((ROUNDUP(MAX($E$85,$D$85/6,500)/100,0)+1)*2+IF(($D$85-MAX($E$85,$D$85/6,500))/200=0,INT(($D$85-MAX($E$85,$D$85/6,500))/200)-1,INT(($D$85-MAX($E$85,$D$85/6,500))/200)))*J86</f>
        <v>27</v>
      </c>
      <c r="L86" s="25">
        <f t="shared" ref="L86:L87" si="26">$C$85*K86</f>
        <v>270</v>
      </c>
      <c r="M86" s="25">
        <f t="shared" si="20"/>
        <v>43.28674560000001</v>
      </c>
      <c r="N86" s="201"/>
      <c r="O86" s="201"/>
      <c r="P86" s="201"/>
      <c r="Q86" s="189"/>
      <c r="R86" s="189"/>
    </row>
    <row r="87" spans="1:18" x14ac:dyDescent="0.15">
      <c r="A87" s="207"/>
      <c r="B87" s="189"/>
      <c r="C87" s="189"/>
      <c r="D87" s="189"/>
      <c r="E87" s="189"/>
      <c r="F87" s="189"/>
      <c r="G87" s="25">
        <v>3</v>
      </c>
      <c r="H87" s="25">
        <v>8</v>
      </c>
      <c r="I87" s="25">
        <v>2956</v>
      </c>
      <c r="J87" s="25">
        <v>2</v>
      </c>
      <c r="K87" s="25">
        <f>((ROUNDUP(MAX($E$85,$D$85/6,500)/100,0)+1)*2+IF(($D$85-MAX($E$85,$D$85/6,500))/200=0,INT(($D$85-MAX($E$85,$D$85/6,500))/200)-1,INT(($D$85-MAX($E$85,$D$85/6,500))/200)))*J87</f>
        <v>54</v>
      </c>
      <c r="L87" s="25">
        <f t="shared" si="26"/>
        <v>540</v>
      </c>
      <c r="M87" s="25">
        <f t="shared" si="20"/>
        <v>63.032325120000017</v>
      </c>
      <c r="N87" s="202"/>
      <c r="O87" s="202"/>
      <c r="P87" s="202"/>
      <c r="Q87" s="189"/>
      <c r="R87" s="189"/>
    </row>
    <row r="88" spans="1:18" x14ac:dyDescent="0.15">
      <c r="A88" s="207"/>
      <c r="B88" s="189" t="s">
        <v>73</v>
      </c>
      <c r="C88" s="189">
        <v>5</v>
      </c>
      <c r="D88" s="189">
        <v>3150</v>
      </c>
      <c r="E88" s="189">
        <v>500</v>
      </c>
      <c r="F88" s="189">
        <v>500</v>
      </c>
      <c r="G88" s="25">
        <v>1</v>
      </c>
      <c r="H88" s="25">
        <v>16</v>
      </c>
      <c r="I88" s="25">
        <f>D88</f>
        <v>3150</v>
      </c>
      <c r="J88" s="25">
        <v>12</v>
      </c>
      <c r="K88" s="25">
        <f>J88</f>
        <v>12</v>
      </c>
      <c r="L88" s="25">
        <f>$C$88*K88</f>
        <v>60</v>
      </c>
      <c r="M88" s="25">
        <f t="shared" si="20"/>
        <v>59.705856000000004</v>
      </c>
      <c r="N88" s="203">
        <f>SUM(M88:M90)</f>
        <v>166.02492672000002</v>
      </c>
      <c r="O88" s="203">
        <f>PRODUCT(D88:F90)/10^9</f>
        <v>0.78749999999999998</v>
      </c>
      <c r="P88" s="203">
        <f>2*(D88*E88+D88*F88)/10^6</f>
        <v>6.3</v>
      </c>
      <c r="Q88" s="189">
        <v>3</v>
      </c>
      <c r="R88" s="189">
        <v>2</v>
      </c>
    </row>
    <row r="89" spans="1:18" x14ac:dyDescent="0.15">
      <c r="A89" s="207"/>
      <c r="B89" s="189"/>
      <c r="C89" s="189"/>
      <c r="D89" s="189"/>
      <c r="E89" s="189"/>
      <c r="F89" s="189"/>
      <c r="G89" s="25">
        <v>2</v>
      </c>
      <c r="H89" s="25">
        <v>8</v>
      </c>
      <c r="I89" s="25">
        <v>4060</v>
      </c>
      <c r="J89" s="25">
        <v>1</v>
      </c>
      <c r="K89" s="25">
        <f>((ROUNDUP(MAX($E$88,$D$88/6,500)/100,0)+1)*2+IF(($D$88-MAX($E$88,$D$88/6,500))/200=0,INT(($D$88-MAX($E$88,$D$88/6,500))/200)-1,INT(($D$88-MAX($E$88,$D$88/6,500))/200)))*J89</f>
        <v>27</v>
      </c>
      <c r="L89" s="25">
        <f t="shared" ref="L89:L90" si="27">$C$88*K89</f>
        <v>135</v>
      </c>
      <c r="M89" s="25">
        <f t="shared" si="20"/>
        <v>43.28674560000001</v>
      </c>
      <c r="N89" s="201"/>
      <c r="O89" s="201"/>
      <c r="P89" s="201"/>
      <c r="Q89" s="189"/>
      <c r="R89" s="189"/>
    </row>
    <row r="90" spans="1:18" x14ac:dyDescent="0.15">
      <c r="A90" s="207"/>
      <c r="B90" s="189"/>
      <c r="C90" s="189"/>
      <c r="D90" s="189"/>
      <c r="E90" s="189"/>
      <c r="F90" s="189"/>
      <c r="G90" s="25">
        <v>3</v>
      </c>
      <c r="H90" s="25">
        <v>8</v>
      </c>
      <c r="I90" s="25">
        <v>2956</v>
      </c>
      <c r="J90" s="25">
        <v>2</v>
      </c>
      <c r="K90" s="25">
        <f>((ROUNDUP(MAX($E$88,$D$88/6,500)/100,0)+1)*2+IF(($D$88-MAX($E$88,$D$88/6,500))/200=0,INT(($D$88-MAX($E$88,$D$88/6,500))/200)-1,INT(($D$88-MAX($E$88,$D$88/6,500))/200)))*J90</f>
        <v>54</v>
      </c>
      <c r="L90" s="25">
        <f t="shared" si="27"/>
        <v>270</v>
      </c>
      <c r="M90" s="25">
        <f t="shared" si="20"/>
        <v>63.032325120000017</v>
      </c>
      <c r="N90" s="202"/>
      <c r="O90" s="202"/>
      <c r="P90" s="202"/>
      <c r="Q90" s="189"/>
      <c r="R90" s="189"/>
    </row>
    <row r="91" spans="1:18" x14ac:dyDescent="0.15">
      <c r="A91" s="207"/>
      <c r="B91" s="189" t="s">
        <v>74</v>
      </c>
      <c r="C91" s="189">
        <v>1</v>
      </c>
      <c r="D91" s="189">
        <v>3150</v>
      </c>
      <c r="E91" s="189">
        <v>500</v>
      </c>
      <c r="F91" s="189">
        <v>500</v>
      </c>
      <c r="G91" s="25">
        <v>1</v>
      </c>
      <c r="H91" s="25">
        <v>16</v>
      </c>
      <c r="I91" s="25">
        <f>D91</f>
        <v>3150</v>
      </c>
      <c r="J91" s="25">
        <v>12</v>
      </c>
      <c r="K91" s="25">
        <f>J91</f>
        <v>12</v>
      </c>
      <c r="L91" s="25">
        <f>$C$91*K91</f>
        <v>12</v>
      </c>
      <c r="M91" s="25">
        <f t="shared" si="20"/>
        <v>59.705856000000004</v>
      </c>
      <c r="N91" s="203">
        <f>SUM(M91:M93)</f>
        <v>166.02492672000002</v>
      </c>
      <c r="O91" s="203">
        <f>PRODUCT(D91:F93)/10^9</f>
        <v>0.78749999999999998</v>
      </c>
      <c r="P91" s="203">
        <f>2*(D91*E91+D91*F91)/10^6</f>
        <v>6.3</v>
      </c>
      <c r="Q91" s="189"/>
      <c r="R91" s="189">
        <v>1</v>
      </c>
    </row>
    <row r="92" spans="1:18" x14ac:dyDescent="0.15">
      <c r="A92" s="207"/>
      <c r="B92" s="189"/>
      <c r="C92" s="189"/>
      <c r="D92" s="189"/>
      <c r="E92" s="189"/>
      <c r="F92" s="189"/>
      <c r="G92" s="25">
        <v>2</v>
      </c>
      <c r="H92" s="25">
        <v>8</v>
      </c>
      <c r="I92" s="25">
        <v>4060</v>
      </c>
      <c r="J92" s="25">
        <v>1</v>
      </c>
      <c r="K92" s="25">
        <f>((ROUNDUP(MAX($E$91,$D$91/6,500)/100,0)+1)*2+IF(($D$91-MAX($E$91,$D$91/6,500))/200=0,INT(($D$91-MAX($E$91,$D$91/6,500))/200)-1,INT(($D$91-MAX($E$91,$D$91/6,500))/200)))*J92</f>
        <v>27</v>
      </c>
      <c r="L92" s="25">
        <f t="shared" ref="L92:L93" si="28">$C$91*K92</f>
        <v>27</v>
      </c>
      <c r="M92" s="25">
        <f t="shared" si="20"/>
        <v>43.28674560000001</v>
      </c>
      <c r="N92" s="201"/>
      <c r="O92" s="201"/>
      <c r="P92" s="201"/>
      <c r="Q92" s="189"/>
      <c r="R92" s="189"/>
    </row>
    <row r="93" spans="1:18" x14ac:dyDescent="0.15">
      <c r="A93" s="207"/>
      <c r="B93" s="189"/>
      <c r="C93" s="189"/>
      <c r="D93" s="189"/>
      <c r="E93" s="189"/>
      <c r="F93" s="189"/>
      <c r="G93" s="25">
        <v>3</v>
      </c>
      <c r="H93" s="25">
        <v>8</v>
      </c>
      <c r="I93" s="25">
        <v>2956</v>
      </c>
      <c r="J93" s="25">
        <v>2</v>
      </c>
      <c r="K93" s="25">
        <f>((ROUNDUP(MAX($E$91,$D$91/6,500)/100,0)+1)*2+IF(($D$91-MAX($E$91,$D$91/6,500))/200=0,INT(($D$91-MAX($E$91,$D$91/6,500))/200)-1,INT(($D$91-MAX($E$91,$D$91/6,500))/200)))*J93</f>
        <v>54</v>
      </c>
      <c r="L93" s="25">
        <f t="shared" si="28"/>
        <v>54</v>
      </c>
      <c r="M93" s="25">
        <f t="shared" si="20"/>
        <v>63.032325120000017</v>
      </c>
      <c r="N93" s="202"/>
      <c r="O93" s="202"/>
      <c r="P93" s="202"/>
      <c r="Q93" s="189"/>
      <c r="R93" s="189"/>
    </row>
    <row r="94" spans="1:18" x14ac:dyDescent="0.15">
      <c r="A94" s="207"/>
      <c r="B94" s="189" t="s">
        <v>75</v>
      </c>
      <c r="C94" s="189">
        <v>1</v>
      </c>
      <c r="D94" s="189">
        <v>3150</v>
      </c>
      <c r="E94" s="189">
        <v>500</v>
      </c>
      <c r="F94" s="189">
        <v>500</v>
      </c>
      <c r="G94" s="25">
        <v>1</v>
      </c>
      <c r="H94" s="25">
        <v>18</v>
      </c>
      <c r="I94" s="25">
        <f>D94</f>
        <v>3150</v>
      </c>
      <c r="J94" s="25">
        <v>4</v>
      </c>
      <c r="K94" s="25">
        <f>J94</f>
        <v>4</v>
      </c>
      <c r="L94" s="25">
        <f>$C$94*K94</f>
        <v>4</v>
      </c>
      <c r="M94" s="25">
        <f t="shared" si="20"/>
        <v>25.188408000000003</v>
      </c>
      <c r="N94" s="203">
        <f>SUM(M94:M97)</f>
        <v>171.41800032000003</v>
      </c>
      <c r="O94" s="203">
        <f>PRODUCT(D94:F97)/10^9</f>
        <v>0.78749999999999998</v>
      </c>
      <c r="P94" s="203">
        <f>2*(D94*E94+D94*F94)/10^6</f>
        <v>6.3</v>
      </c>
      <c r="Q94" s="189"/>
      <c r="R94" s="189">
        <v>1</v>
      </c>
    </row>
    <row r="95" spans="1:18" x14ac:dyDescent="0.15">
      <c r="A95" s="207"/>
      <c r="B95" s="189"/>
      <c r="C95" s="189"/>
      <c r="D95" s="189"/>
      <c r="E95" s="189"/>
      <c r="F95" s="189"/>
      <c r="G95" s="25">
        <v>2</v>
      </c>
      <c r="H95" s="25">
        <v>16</v>
      </c>
      <c r="I95" s="25">
        <f>D94</f>
        <v>3150</v>
      </c>
      <c r="J95" s="25">
        <v>8</v>
      </c>
      <c r="K95" s="25">
        <f>J95</f>
        <v>8</v>
      </c>
      <c r="L95" s="25">
        <f t="shared" ref="L95:L97" si="29">$C$94*K95</f>
        <v>8</v>
      </c>
      <c r="M95" s="25">
        <f t="shared" si="20"/>
        <v>39.80390400000001</v>
      </c>
      <c r="N95" s="201"/>
      <c r="O95" s="201"/>
      <c r="P95" s="201"/>
      <c r="Q95" s="189"/>
      <c r="R95" s="189"/>
    </row>
    <row r="96" spans="1:18" x14ac:dyDescent="0.15">
      <c r="A96" s="207"/>
      <c r="B96" s="189"/>
      <c r="C96" s="189"/>
      <c r="D96" s="189"/>
      <c r="E96" s="189"/>
      <c r="F96" s="189"/>
      <c r="G96" s="25">
        <v>3</v>
      </c>
      <c r="H96" s="25">
        <v>8</v>
      </c>
      <c r="I96" s="25">
        <v>4060</v>
      </c>
      <c r="J96" s="25">
        <v>1</v>
      </c>
      <c r="K96" s="25">
        <f>((ROUNDUP(MAX($E$94,$D$94/6,500)/100,0)+1)*2+IF(($D$94-MAX($E$94,$D$94/6,500))/200=0,INT(($D$94-MAX($E$94,$D$94/6,500))/200)-1,INT(($D$94-MAX($E$94,$D$94/6,500))/200)))*J96</f>
        <v>27</v>
      </c>
      <c r="L96" s="25">
        <f t="shared" si="29"/>
        <v>27</v>
      </c>
      <c r="M96" s="25">
        <f t="shared" si="20"/>
        <v>43.28674560000001</v>
      </c>
      <c r="N96" s="201"/>
      <c r="O96" s="201"/>
      <c r="P96" s="201"/>
      <c r="Q96" s="189"/>
      <c r="R96" s="189"/>
    </row>
    <row r="97" spans="1:18" x14ac:dyDescent="0.15">
      <c r="A97" s="207"/>
      <c r="B97" s="189"/>
      <c r="C97" s="189"/>
      <c r="D97" s="189"/>
      <c r="E97" s="189"/>
      <c r="F97" s="189"/>
      <c r="G97" s="25">
        <v>4</v>
      </c>
      <c r="H97" s="25">
        <v>8</v>
      </c>
      <c r="I97" s="25">
        <v>2961</v>
      </c>
      <c r="J97" s="25">
        <v>2</v>
      </c>
      <c r="K97" s="25">
        <f>((ROUNDUP(MAX($E$94,$D$94/6,500)/100,0)+1)*2+IF(($D$94-MAX($E$94,$D$94/6,500))/200=0,INT(($D$94-MAX($E$94,$D$94/6,500))/200)-1,INT(($D$94-MAX($E$94,$D$94/6,500))/200)))*J97</f>
        <v>54</v>
      </c>
      <c r="L97" s="25">
        <f t="shared" si="29"/>
        <v>54</v>
      </c>
      <c r="M97" s="25">
        <f t="shared" si="20"/>
        <v>63.138942720000017</v>
      </c>
      <c r="N97" s="202"/>
      <c r="O97" s="202"/>
      <c r="P97" s="202"/>
      <c r="Q97" s="189"/>
      <c r="R97" s="189"/>
    </row>
    <row r="98" spans="1:18" x14ac:dyDescent="0.15">
      <c r="A98" s="207"/>
      <c r="B98" s="189" t="s">
        <v>76</v>
      </c>
      <c r="C98" s="189">
        <v>1</v>
      </c>
      <c r="D98" s="189">
        <v>3150</v>
      </c>
      <c r="E98" s="189">
        <v>500</v>
      </c>
      <c r="F98" s="189">
        <v>500</v>
      </c>
      <c r="G98" s="25">
        <v>1</v>
      </c>
      <c r="H98" s="25">
        <v>16</v>
      </c>
      <c r="I98" s="25">
        <f>D98</f>
        <v>3150</v>
      </c>
      <c r="J98" s="25">
        <v>4</v>
      </c>
      <c r="K98" s="25">
        <v>14</v>
      </c>
      <c r="L98" s="25">
        <f>$C$98*K98</f>
        <v>14</v>
      </c>
      <c r="M98" s="25">
        <f t="shared" si="20"/>
        <v>69.656832000000009</v>
      </c>
      <c r="N98" s="203">
        <f>SUM(M98:M100)</f>
        <v>176.08252032000004</v>
      </c>
      <c r="O98" s="203">
        <f>PRODUCT(D98:F100)/10^9</f>
        <v>0.78749999999999998</v>
      </c>
      <c r="P98" s="203">
        <f>2*(D98*E98+D98*F98)/10^6</f>
        <v>6.3</v>
      </c>
      <c r="Q98" s="189"/>
      <c r="R98" s="189">
        <v>1</v>
      </c>
    </row>
    <row r="99" spans="1:18" x14ac:dyDescent="0.15">
      <c r="A99" s="207"/>
      <c r="B99" s="189"/>
      <c r="C99" s="189"/>
      <c r="D99" s="189"/>
      <c r="E99" s="189"/>
      <c r="F99" s="189"/>
      <c r="G99" s="25">
        <v>2</v>
      </c>
      <c r="H99" s="25">
        <v>8</v>
      </c>
      <c r="I99" s="25">
        <v>4060</v>
      </c>
      <c r="J99" s="25">
        <v>1</v>
      </c>
      <c r="K99" s="25">
        <f>((ROUNDUP(MAX($E$98,$D$98/6,500)/100,0)+1)*2+IF(($D$98-MAX($E$984,$D$98/6,500))/200=0,INT(($D$98-MAX($E$98,$D$98/6,500))/200)-1,INT(($D$98-MAX($E$98,$D$98/6,500))/200)))*J99</f>
        <v>27</v>
      </c>
      <c r="L99" s="25">
        <f t="shared" ref="L99:L100" si="30">$C$98*K99</f>
        <v>27</v>
      </c>
      <c r="M99" s="25">
        <f t="shared" si="20"/>
        <v>43.28674560000001</v>
      </c>
      <c r="N99" s="201"/>
      <c r="O99" s="201"/>
      <c r="P99" s="201"/>
      <c r="Q99" s="189"/>
      <c r="R99" s="189"/>
    </row>
    <row r="100" spans="1:18" x14ac:dyDescent="0.15">
      <c r="A100" s="207"/>
      <c r="B100" s="189"/>
      <c r="C100" s="189"/>
      <c r="D100" s="189"/>
      <c r="E100" s="189"/>
      <c r="F100" s="189"/>
      <c r="G100" s="25">
        <v>3</v>
      </c>
      <c r="H100" s="25">
        <v>8</v>
      </c>
      <c r="I100" s="25">
        <v>2961</v>
      </c>
      <c r="J100" s="25">
        <v>2</v>
      </c>
      <c r="K100" s="25">
        <f>((ROUNDUP(MAX($E$98,$D$98/6,500)/100,0)+1)*2+IF(($D$98-MAX($E$984,$D$98/6,500))/200=0,INT(($D$98-MAX($E$98,$D$98/6,500))/200)-1,INT(($D$98-MAX($E$98,$D$98/6,500))/200)))*J100</f>
        <v>54</v>
      </c>
      <c r="L100" s="25">
        <f t="shared" si="30"/>
        <v>54</v>
      </c>
      <c r="M100" s="25">
        <f t="shared" si="20"/>
        <v>63.138942720000017</v>
      </c>
      <c r="N100" s="202"/>
      <c r="O100" s="202"/>
      <c r="P100" s="202"/>
      <c r="Q100" s="189"/>
      <c r="R100" s="189"/>
    </row>
    <row r="101" spans="1:18" x14ac:dyDescent="0.15">
      <c r="A101" s="207"/>
      <c r="B101" s="189" t="s">
        <v>77</v>
      </c>
      <c r="C101" s="189">
        <v>1</v>
      </c>
      <c r="D101" s="189">
        <v>3150</v>
      </c>
      <c r="E101" s="189">
        <v>500</v>
      </c>
      <c r="F101" s="189">
        <v>500</v>
      </c>
      <c r="G101" s="25">
        <v>1</v>
      </c>
      <c r="H101" s="25">
        <v>16</v>
      </c>
      <c r="I101" s="25">
        <f>D101</f>
        <v>3150</v>
      </c>
      <c r="J101" s="25">
        <v>12</v>
      </c>
      <c r="K101" s="25">
        <f>J101</f>
        <v>12</v>
      </c>
      <c r="L101" s="25">
        <f>$C$101*K101</f>
        <v>12</v>
      </c>
      <c r="M101" s="25">
        <f t="shared" si="20"/>
        <v>59.705856000000004</v>
      </c>
      <c r="N101" s="203">
        <f>SUM(M101:M103)</f>
        <v>166.02492672000002</v>
      </c>
      <c r="O101" s="203">
        <f>PRODUCT(D101:F103)/10^9</f>
        <v>0.78749999999999998</v>
      </c>
      <c r="P101" s="203">
        <f>2*(D101*E101+D101*F101)/10^6</f>
        <v>6.3</v>
      </c>
      <c r="Q101" s="189"/>
      <c r="R101" s="189">
        <v>1</v>
      </c>
    </row>
    <row r="102" spans="1:18" x14ac:dyDescent="0.15">
      <c r="A102" s="207"/>
      <c r="B102" s="189"/>
      <c r="C102" s="189"/>
      <c r="D102" s="189"/>
      <c r="E102" s="189"/>
      <c r="F102" s="189"/>
      <c r="G102" s="25">
        <v>2</v>
      </c>
      <c r="H102" s="25">
        <v>8</v>
      </c>
      <c r="I102" s="25">
        <v>4060</v>
      </c>
      <c r="J102" s="25">
        <v>1</v>
      </c>
      <c r="K102" s="25">
        <f>((ROUNDUP(MAX($E$101,$D$101/6,500)/100,0)+1)*2+IF(($D$101-MAX($E$101,$D$101/6,500))/200=0,INT(($D$101-MAX($E$101,$D$101/6,500))/200)-1,INT(($D$101-MAX($E$101,$D$101/6,500))/200)))*J102</f>
        <v>27</v>
      </c>
      <c r="L102" s="25">
        <f t="shared" ref="L102:L103" si="31">$C$101*K102</f>
        <v>27</v>
      </c>
      <c r="M102" s="25">
        <f t="shared" si="20"/>
        <v>43.28674560000001</v>
      </c>
      <c r="N102" s="201"/>
      <c r="O102" s="201"/>
      <c r="P102" s="201"/>
      <c r="Q102" s="189"/>
      <c r="R102" s="189"/>
    </row>
    <row r="103" spans="1:18" x14ac:dyDescent="0.15">
      <c r="A103" s="207"/>
      <c r="B103" s="189"/>
      <c r="C103" s="189"/>
      <c r="D103" s="189"/>
      <c r="E103" s="189"/>
      <c r="F103" s="189"/>
      <c r="G103" s="25">
        <v>3</v>
      </c>
      <c r="H103" s="25">
        <v>8</v>
      </c>
      <c r="I103" s="25">
        <v>2956</v>
      </c>
      <c r="J103" s="25">
        <v>2</v>
      </c>
      <c r="K103" s="25">
        <f>((ROUNDUP(MAX($E$101,$D$101/6,500)/100,0)+1)*2+IF(($D$101-MAX($E$101,$D$101/6,500))/200=0,INT(($D$101-MAX($E$101,$D$101/6,500))/200)-1,INT(($D$101-MAX($E$101,$D$101/6,500))/200)))*J103</f>
        <v>54</v>
      </c>
      <c r="L103" s="25">
        <f t="shared" si="31"/>
        <v>54</v>
      </c>
      <c r="M103" s="25">
        <f t="shared" si="20"/>
        <v>63.032325120000017</v>
      </c>
      <c r="N103" s="202"/>
      <c r="O103" s="202"/>
      <c r="P103" s="202"/>
      <c r="Q103" s="189"/>
      <c r="R103" s="189"/>
    </row>
    <row r="104" spans="1:18" x14ac:dyDescent="0.15">
      <c r="Q104" s="70"/>
      <c r="R104" s="70"/>
    </row>
  </sheetData>
  <mergeCells count="203">
    <mergeCell ref="R98:R100"/>
    <mergeCell ref="R101:R103"/>
    <mergeCell ref="R65:R72"/>
    <mergeCell ref="R73:R75"/>
    <mergeCell ref="R76:R78"/>
    <mergeCell ref="R79:R81"/>
    <mergeCell ref="R82:R84"/>
    <mergeCell ref="R85:R87"/>
    <mergeCell ref="R88:R90"/>
    <mergeCell ref="R91:R93"/>
    <mergeCell ref="R94:R97"/>
    <mergeCell ref="R3:R8"/>
    <mergeCell ref="R9:R16"/>
    <mergeCell ref="R17:R24"/>
    <mergeCell ref="R25:R30"/>
    <mergeCell ref="R31:R36"/>
    <mergeCell ref="R37:R42"/>
    <mergeCell ref="R43:R50"/>
    <mergeCell ref="R51:R57"/>
    <mergeCell ref="R58:R64"/>
    <mergeCell ref="P101:P103"/>
    <mergeCell ref="P85:P87"/>
    <mergeCell ref="P88:P90"/>
    <mergeCell ref="P91:P93"/>
    <mergeCell ref="P94:P97"/>
    <mergeCell ref="P98:P100"/>
    <mergeCell ref="P65:P72"/>
    <mergeCell ref="P73:P75"/>
    <mergeCell ref="P76:P78"/>
    <mergeCell ref="P79:P81"/>
    <mergeCell ref="P82:P84"/>
    <mergeCell ref="P31:P36"/>
    <mergeCell ref="P37:P42"/>
    <mergeCell ref="P43:P50"/>
    <mergeCell ref="P51:P57"/>
    <mergeCell ref="P58:P64"/>
    <mergeCell ref="P3:P8"/>
    <mergeCell ref="P9:P16"/>
    <mergeCell ref="P17:P24"/>
    <mergeCell ref="P25:P30"/>
    <mergeCell ref="O98:O100"/>
    <mergeCell ref="O58:O64"/>
    <mergeCell ref="O3:O8"/>
    <mergeCell ref="O9:O16"/>
    <mergeCell ref="O17:O24"/>
    <mergeCell ref="O25:O30"/>
    <mergeCell ref="O101:O103"/>
    <mergeCell ref="A1:B1"/>
    <mergeCell ref="O88:O90"/>
    <mergeCell ref="O91:O93"/>
    <mergeCell ref="O94:O97"/>
    <mergeCell ref="O79:O81"/>
    <mergeCell ref="O82:O84"/>
    <mergeCell ref="O85:O87"/>
    <mergeCell ref="O65:O72"/>
    <mergeCell ref="O73:O75"/>
    <mergeCell ref="O76:O78"/>
    <mergeCell ref="O31:O36"/>
    <mergeCell ref="O37:O42"/>
    <mergeCell ref="O43:O50"/>
    <mergeCell ref="O51:O57"/>
    <mergeCell ref="N65:N72"/>
    <mergeCell ref="A73:A103"/>
    <mergeCell ref="N73:N75"/>
    <mergeCell ref="N76:N78"/>
    <mergeCell ref="N79:N81"/>
    <mergeCell ref="N82:N84"/>
    <mergeCell ref="N85:N87"/>
    <mergeCell ref="N88:N90"/>
    <mergeCell ref="N91:N93"/>
    <mergeCell ref="N94:N97"/>
    <mergeCell ref="N98:N100"/>
    <mergeCell ref="N101:N103"/>
    <mergeCell ref="F91:F93"/>
    <mergeCell ref="B88:B90"/>
    <mergeCell ref="C88:C90"/>
    <mergeCell ref="D88:D90"/>
    <mergeCell ref="E88:E90"/>
    <mergeCell ref="F88:F90"/>
    <mergeCell ref="B85:B87"/>
    <mergeCell ref="C85:C87"/>
    <mergeCell ref="D85:D87"/>
    <mergeCell ref="E85:E87"/>
    <mergeCell ref="F85:F87"/>
    <mergeCell ref="B82:B84"/>
    <mergeCell ref="N31:N36"/>
    <mergeCell ref="N37:N42"/>
    <mergeCell ref="N43:N50"/>
    <mergeCell ref="B101:B103"/>
    <mergeCell ref="C101:C103"/>
    <mergeCell ref="D101:D103"/>
    <mergeCell ref="E101:E103"/>
    <mergeCell ref="F101:F103"/>
    <mergeCell ref="B98:B100"/>
    <mergeCell ref="C98:C100"/>
    <mergeCell ref="D98:D100"/>
    <mergeCell ref="E98:E100"/>
    <mergeCell ref="F98:F100"/>
    <mergeCell ref="F94:F97"/>
    <mergeCell ref="E94:E97"/>
    <mergeCell ref="D94:D97"/>
    <mergeCell ref="C94:C97"/>
    <mergeCell ref="B94:B97"/>
    <mergeCell ref="B91:B93"/>
    <mergeCell ref="C91:C93"/>
    <mergeCell ref="D91:D93"/>
    <mergeCell ref="E91:E93"/>
    <mergeCell ref="N51:N57"/>
    <mergeCell ref="N58:N64"/>
    <mergeCell ref="C82:C84"/>
    <mergeCell ref="D82:D84"/>
    <mergeCell ref="E82:E84"/>
    <mergeCell ref="F82:F84"/>
    <mergeCell ref="D79:D81"/>
    <mergeCell ref="E79:E81"/>
    <mergeCell ref="F79:F81"/>
    <mergeCell ref="B79:B81"/>
    <mergeCell ref="C79:C81"/>
    <mergeCell ref="C76:C78"/>
    <mergeCell ref="D76:D78"/>
    <mergeCell ref="E76:E78"/>
    <mergeCell ref="F76:F78"/>
    <mergeCell ref="B76:B78"/>
    <mergeCell ref="F73:F75"/>
    <mergeCell ref="E73:E75"/>
    <mergeCell ref="D73:D75"/>
    <mergeCell ref="C73:C75"/>
    <mergeCell ref="B73:B75"/>
    <mergeCell ref="B65:B72"/>
    <mergeCell ref="D65:D72"/>
    <mergeCell ref="E65:E72"/>
    <mergeCell ref="F65:F72"/>
    <mergeCell ref="A3:A72"/>
    <mergeCell ref="C3:C8"/>
    <mergeCell ref="C9:C16"/>
    <mergeCell ref="C17:C24"/>
    <mergeCell ref="C25:C30"/>
    <mergeCell ref="C31:C36"/>
    <mergeCell ref="C37:C42"/>
    <mergeCell ref="C43:C50"/>
    <mergeCell ref="C51:C57"/>
    <mergeCell ref="C58:C64"/>
    <mergeCell ref="C65:C72"/>
    <mergeCell ref="B51:B57"/>
    <mergeCell ref="B31:B36"/>
    <mergeCell ref="D51:D57"/>
    <mergeCell ref="E51:E57"/>
    <mergeCell ref="F51:F57"/>
    <mergeCell ref="F58:F64"/>
    <mergeCell ref="E58:E64"/>
    <mergeCell ref="D58:D64"/>
    <mergeCell ref="B58:B64"/>
    <mergeCell ref="B37:B42"/>
    <mergeCell ref="D37:D42"/>
    <mergeCell ref="E37:E42"/>
    <mergeCell ref="F37:F42"/>
    <mergeCell ref="B43:B50"/>
    <mergeCell ref="D43:D50"/>
    <mergeCell ref="E43:E50"/>
    <mergeCell ref="F43:F50"/>
    <mergeCell ref="D31:D36"/>
    <mergeCell ref="F31:F36"/>
    <mergeCell ref="E31:E36"/>
    <mergeCell ref="N3:N8"/>
    <mergeCell ref="N9:N16"/>
    <mergeCell ref="B17:B24"/>
    <mergeCell ref="D17:D24"/>
    <mergeCell ref="E17:E24"/>
    <mergeCell ref="F17:F24"/>
    <mergeCell ref="B25:B30"/>
    <mergeCell ref="D25:D30"/>
    <mergeCell ref="E25:E30"/>
    <mergeCell ref="F25:F30"/>
    <mergeCell ref="D3:D8"/>
    <mergeCell ref="E3:E8"/>
    <mergeCell ref="F3:F8"/>
    <mergeCell ref="B3:B8"/>
    <mergeCell ref="B9:B16"/>
    <mergeCell ref="D9:D16"/>
    <mergeCell ref="E9:E16"/>
    <mergeCell ref="F9:F16"/>
    <mergeCell ref="N17:N24"/>
    <mergeCell ref="N25:N30"/>
    <mergeCell ref="Q3:Q8"/>
    <mergeCell ref="Q9:Q16"/>
    <mergeCell ref="Q17:Q24"/>
    <mergeCell ref="Q25:Q30"/>
    <mergeCell ref="Q31:Q36"/>
    <mergeCell ref="Q37:Q42"/>
    <mergeCell ref="Q43:Q50"/>
    <mergeCell ref="Q51:Q57"/>
    <mergeCell ref="Q58:Q64"/>
    <mergeCell ref="Q98:Q100"/>
    <mergeCell ref="Q101:Q103"/>
    <mergeCell ref="Q65:Q72"/>
    <mergeCell ref="Q73:Q75"/>
    <mergeCell ref="Q76:Q78"/>
    <mergeCell ref="Q79:Q81"/>
    <mergeCell ref="Q82:Q84"/>
    <mergeCell ref="Q85:Q87"/>
    <mergeCell ref="Q88:Q90"/>
    <mergeCell ref="Q91:Q93"/>
    <mergeCell ref="Q94:Q97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2"/>
  <sheetViews>
    <sheetView workbookViewId="0">
      <selection activeCell="K5" sqref="K5"/>
    </sheetView>
  </sheetViews>
  <sheetFormatPr defaultRowHeight="13.5" x14ac:dyDescent="0.15"/>
  <cols>
    <col min="1" max="1" width="4.125" style="195" customWidth="1"/>
    <col min="2" max="2" width="9" style="40" customWidth="1"/>
    <col min="3" max="3" width="10.25" style="40" customWidth="1"/>
    <col min="4" max="4" width="6.5" style="40" bestFit="1" customWidth="1"/>
    <col min="5" max="5" width="5.75" style="40" bestFit="1" customWidth="1"/>
    <col min="6" max="6" width="6.875" style="40" bestFit="1" customWidth="1"/>
    <col min="7" max="7" width="9.75" style="40" bestFit="1" customWidth="1"/>
    <col min="8" max="8" width="18.375" style="40" bestFit="1" customWidth="1"/>
    <col min="9" max="11" width="6.5" style="40" bestFit="1" customWidth="1"/>
    <col min="12" max="13" width="9" style="40"/>
    <col min="14" max="14" width="10.5" style="40" bestFit="1" customWidth="1"/>
    <col min="15" max="15" width="17.25" style="40" bestFit="1" customWidth="1"/>
    <col min="18" max="16384" width="9" style="40"/>
  </cols>
  <sheetData>
    <row r="1" spans="1:17" ht="27" customHeight="1" thickBot="1" x14ac:dyDescent="0.2">
      <c r="B1" s="217" t="s">
        <v>149</v>
      </c>
      <c r="C1" s="217"/>
      <c r="D1" s="44"/>
    </row>
    <row r="2" spans="1:17" ht="18.75" x14ac:dyDescent="0.15">
      <c r="B2" s="53" t="s">
        <v>91</v>
      </c>
      <c r="C2" s="54" t="s">
        <v>93</v>
      </c>
      <c r="D2" s="54" t="s">
        <v>126</v>
      </c>
      <c r="E2" s="55" t="s">
        <v>94</v>
      </c>
    </row>
    <row r="3" spans="1:17" ht="13.5" customHeight="1" thickBot="1" x14ac:dyDescent="0.2">
      <c r="B3" s="56" t="s">
        <v>92</v>
      </c>
      <c r="C3" s="57">
        <v>25</v>
      </c>
      <c r="D3" s="57">
        <f>IF(B3="一、二级",1.15*C3,IF(B3="三级",1.05*C3,C3))</f>
        <v>26.25</v>
      </c>
      <c r="E3" s="58">
        <v>30</v>
      </c>
    </row>
    <row r="4" spans="1:17" x14ac:dyDescent="0.15">
      <c r="B4" s="59" t="s">
        <v>141</v>
      </c>
      <c r="C4" s="60" t="s">
        <v>85</v>
      </c>
      <c r="D4" s="60" t="s">
        <v>102</v>
      </c>
      <c r="E4" s="60" t="s">
        <v>86</v>
      </c>
      <c r="F4" s="60" t="s">
        <v>87</v>
      </c>
      <c r="G4" s="60" t="s">
        <v>88</v>
      </c>
      <c r="H4" s="60" t="s">
        <v>39</v>
      </c>
      <c r="I4" s="60" t="s">
        <v>89</v>
      </c>
      <c r="J4" s="60" t="s">
        <v>90</v>
      </c>
      <c r="K4" s="60" t="s">
        <v>96</v>
      </c>
      <c r="L4" s="60" t="s">
        <v>163</v>
      </c>
      <c r="M4" s="60" t="s">
        <v>161</v>
      </c>
      <c r="N4" s="60" t="s">
        <v>162</v>
      </c>
      <c r="O4" s="60" t="s">
        <v>164</v>
      </c>
      <c r="P4" s="60" t="s">
        <v>182</v>
      </c>
      <c r="Q4" s="60" t="s">
        <v>183</v>
      </c>
    </row>
    <row r="5" spans="1:17" x14ac:dyDescent="0.15">
      <c r="B5" s="225" t="s">
        <v>142</v>
      </c>
      <c r="C5" s="209" t="s">
        <v>84</v>
      </c>
      <c r="D5" s="218" t="s">
        <v>106</v>
      </c>
      <c r="E5" s="219"/>
      <c r="F5" s="218">
        <v>15300</v>
      </c>
      <c r="G5" s="219"/>
      <c r="H5" s="39" t="s">
        <v>103</v>
      </c>
      <c r="I5" s="39">
        <v>2</v>
      </c>
      <c r="J5" s="39">
        <v>18</v>
      </c>
      <c r="K5" s="41">
        <f>F5+2*IF((MAX(柱工程量计算!$E$3:$F$72)-$E$3)&gt;$D$3*J5,MAX($D$3*J5,0.5*MAX(柱工程量计算!$E$3:$F$72)+5*J5,MAX($D$3*J5,0.4*$D$3*J5+15*J5)))</f>
        <v>16245</v>
      </c>
      <c r="L5" s="50">
        <f t="shared" ref="L5:L13" si="0">I5*(J5/10)^2*0.617*K5/1000</f>
        <v>64.9501092</v>
      </c>
      <c r="M5" s="189">
        <f>(2*F7+E7)*G7/10^6</f>
        <v>7.5</v>
      </c>
      <c r="N5" s="189">
        <f>PRODUCT(E7:G13)/10^9</f>
        <v>0.75</v>
      </c>
      <c r="O5" s="189">
        <f>SUM(L5:L13)</f>
        <v>264.82612391999999</v>
      </c>
      <c r="P5" s="189">
        <v>1</v>
      </c>
      <c r="Q5" s="189"/>
    </row>
    <row r="6" spans="1:17" s="43" customFormat="1" x14ac:dyDescent="0.15">
      <c r="A6" s="195"/>
      <c r="B6" s="225"/>
      <c r="C6" s="209"/>
      <c r="D6" s="223"/>
      <c r="E6" s="224"/>
      <c r="F6" s="223"/>
      <c r="G6" s="224"/>
      <c r="H6" s="39" t="s">
        <v>100</v>
      </c>
      <c r="I6" s="39">
        <v>4</v>
      </c>
      <c r="J6" s="39">
        <v>12</v>
      </c>
      <c r="K6" s="41">
        <f>IF($F$7&gt;=450,$F$5+2*IF((MAX(柱工程量计算!$E$3:$F$72)-$E$3)&gt;$D$3*J6,MAX($D$3*J6,0.5*MAX(柱工程量计算!$E$3:$F$72)+5*J6),MAX($D$3*J6,0.4*$D$3*J6+15*J6)),$F$5+15*J6)</f>
        <v>16020</v>
      </c>
      <c r="L6" s="50">
        <f t="shared" si="0"/>
        <v>56.933798399999993</v>
      </c>
      <c r="M6" s="189"/>
      <c r="N6" s="189"/>
      <c r="O6" s="189"/>
      <c r="P6" s="189"/>
      <c r="Q6" s="189"/>
    </row>
    <row r="7" spans="1:17" ht="12.75" customHeight="1" x14ac:dyDescent="0.15">
      <c r="B7" s="225"/>
      <c r="C7" s="209"/>
      <c r="D7" s="220">
        <v>1</v>
      </c>
      <c r="E7" s="220">
        <v>250</v>
      </c>
      <c r="F7" s="203">
        <v>500</v>
      </c>
      <c r="G7" s="203">
        <v>6000</v>
      </c>
      <c r="H7" s="39" t="s">
        <v>95</v>
      </c>
      <c r="I7" s="39">
        <v>4</v>
      </c>
      <c r="J7" s="39">
        <v>18</v>
      </c>
      <c r="K7" s="41">
        <f>$G$7/3+MAX($D$3*J7,0.4*$D$3*J7+15*J7,MAX(柱工程量计算!$E$3:$F$72)-$E$3+15*J7)</f>
        <v>2840</v>
      </c>
      <c r="L7" s="50">
        <f t="shared" si="0"/>
        <v>22.7095488</v>
      </c>
      <c r="M7" s="189"/>
      <c r="N7" s="189"/>
      <c r="O7" s="189"/>
      <c r="P7" s="189"/>
      <c r="Q7" s="189"/>
    </row>
    <row r="8" spans="1:17" x14ac:dyDescent="0.15">
      <c r="B8" s="225"/>
      <c r="C8" s="209"/>
      <c r="D8" s="221"/>
      <c r="E8" s="221"/>
      <c r="F8" s="201"/>
      <c r="G8" s="201"/>
      <c r="H8" s="39" t="s">
        <v>97</v>
      </c>
      <c r="I8" s="39">
        <v>3</v>
      </c>
      <c r="J8" s="39">
        <v>16</v>
      </c>
      <c r="K8" s="41">
        <f>$G$7/4+MAX($D$3*J8,0.4*$D$3*J8+15*J8,MAX(柱工程量计算!$E$3:$F$72)-$E$3+15*J8)</f>
        <v>2310</v>
      </c>
      <c r="L8" s="50">
        <f t="shared" si="0"/>
        <v>10.946073600000002</v>
      </c>
      <c r="M8" s="189"/>
      <c r="N8" s="189"/>
      <c r="O8" s="189"/>
      <c r="P8" s="189"/>
      <c r="Q8" s="189"/>
    </row>
    <row r="9" spans="1:17" x14ac:dyDescent="0.15">
      <c r="B9" s="225"/>
      <c r="C9" s="209"/>
      <c r="D9" s="221"/>
      <c r="E9" s="221"/>
      <c r="F9" s="201"/>
      <c r="G9" s="201"/>
      <c r="H9" s="39" t="s">
        <v>98</v>
      </c>
      <c r="I9" s="39">
        <v>4</v>
      </c>
      <c r="J9" s="39">
        <v>18</v>
      </c>
      <c r="K9" s="41">
        <f>$G$7/3+MAX($D$3*J9,0.4*$D$3*J9+15*J9,MAX(柱工程量计算!$E$3:$F$72)-$E$3+15*J9)</f>
        <v>2840</v>
      </c>
      <c r="L9" s="50">
        <f t="shared" si="0"/>
        <v>22.7095488</v>
      </c>
      <c r="M9" s="189"/>
      <c r="N9" s="189"/>
      <c r="O9" s="189"/>
      <c r="P9" s="189"/>
      <c r="Q9" s="189"/>
    </row>
    <row r="10" spans="1:17" x14ac:dyDescent="0.15">
      <c r="B10" s="225"/>
      <c r="C10" s="209"/>
      <c r="D10" s="221"/>
      <c r="E10" s="221"/>
      <c r="F10" s="201"/>
      <c r="G10" s="201"/>
      <c r="H10" s="39" t="s">
        <v>99</v>
      </c>
      <c r="I10" s="39">
        <v>3</v>
      </c>
      <c r="J10" s="39">
        <v>16</v>
      </c>
      <c r="K10" s="41">
        <f>$G$7/4+MAX($D$3*J10,0.4*$D$3*J10+15*J10,MAX(柱工程量计算!$E$3:$F$72)-$E$3+15*J10)</f>
        <v>2310</v>
      </c>
      <c r="L10" s="50">
        <f t="shared" si="0"/>
        <v>10.946073600000002</v>
      </c>
      <c r="M10" s="189"/>
      <c r="N10" s="189"/>
      <c r="O10" s="189"/>
      <c r="P10" s="189"/>
      <c r="Q10" s="189"/>
    </row>
    <row r="11" spans="1:17" x14ac:dyDescent="0.15">
      <c r="B11" s="225"/>
      <c r="C11" s="209"/>
      <c r="D11" s="221"/>
      <c r="E11" s="221"/>
      <c r="F11" s="201"/>
      <c r="G11" s="201"/>
      <c r="H11" s="39" t="s">
        <v>104</v>
      </c>
      <c r="I11" s="39">
        <v>4</v>
      </c>
      <c r="J11" s="39">
        <v>16</v>
      </c>
      <c r="K11" s="41">
        <f>$G$7+2*IF((MAX(柱工程量计算!$E$3:$F$72)-$E$3)&gt;$D$3*J11,MAX($D$3*J11,0.5*MAX(柱工程量计算!$E$3:$F$72)+5*J11),MAX($D$3*J11,0.4*$D$3*J11+15*J11))</f>
        <v>6840</v>
      </c>
      <c r="L11" s="50">
        <f t="shared" si="0"/>
        <v>43.215667200000006</v>
      </c>
      <c r="M11" s="189"/>
      <c r="N11" s="189"/>
      <c r="O11" s="189"/>
      <c r="P11" s="189"/>
      <c r="Q11" s="189"/>
    </row>
    <row r="12" spans="1:17" s="43" customFormat="1" x14ac:dyDescent="0.15">
      <c r="A12" s="195"/>
      <c r="B12" s="225"/>
      <c r="C12" s="209"/>
      <c r="D12" s="221"/>
      <c r="E12" s="221"/>
      <c r="F12" s="201"/>
      <c r="G12" s="201"/>
      <c r="H12" s="42" t="s">
        <v>107</v>
      </c>
      <c r="I12" s="42">
        <f>((G7-50*2)/200*2+1)*$I$6/2</f>
        <v>120</v>
      </c>
      <c r="J12" s="42">
        <f>IF(E7&lt;=350,6,8)</f>
        <v>6</v>
      </c>
      <c r="K12" s="41">
        <f>E7-2*$E$3+2*1.9*J12+2*MAX(10*J12,75)+2*J12</f>
        <v>374.8</v>
      </c>
      <c r="L12" s="50">
        <f t="shared" si="0"/>
        <v>9.9900691199999976</v>
      </c>
      <c r="M12" s="189"/>
      <c r="N12" s="189"/>
      <c r="O12" s="189"/>
      <c r="P12" s="189"/>
      <c r="Q12" s="189"/>
    </row>
    <row r="13" spans="1:17" s="43" customFormat="1" x14ac:dyDescent="0.15">
      <c r="A13" s="195"/>
      <c r="B13" s="225"/>
      <c r="C13" s="209"/>
      <c r="D13" s="222"/>
      <c r="E13" s="222"/>
      <c r="F13" s="202"/>
      <c r="G13" s="202"/>
      <c r="H13" s="42" t="s">
        <v>108</v>
      </c>
      <c r="I13" s="42">
        <f>2*((IF(B3="一级",MAX(2*F7,500),MAX(1.5*F7,500))-50)/100+1)+(G7-2*IF(B3="一级",MAX(2*F7,500),MAX(1.5*F7,500)))/200-1</f>
        <v>37.5</v>
      </c>
      <c r="J13" s="42">
        <v>8</v>
      </c>
      <c r="K13" s="42">
        <f>(E7-2*$E$3+2*J13)*2+(F7-2*$E$3+2*J13)*2+2*1.9*J13+2*MAX(10*J13,75)</f>
        <v>1514.4</v>
      </c>
      <c r="L13" s="50">
        <f t="shared" si="0"/>
        <v>22.425235200000003</v>
      </c>
      <c r="M13" s="189"/>
      <c r="N13" s="189"/>
      <c r="O13" s="189"/>
      <c r="P13" s="189"/>
      <c r="Q13" s="189"/>
    </row>
    <row r="14" spans="1:17" x14ac:dyDescent="0.15">
      <c r="B14" s="225"/>
      <c r="C14" s="209"/>
      <c r="D14" s="220">
        <v>1</v>
      </c>
      <c r="E14" s="220">
        <v>300</v>
      </c>
      <c r="F14" s="203">
        <v>350</v>
      </c>
      <c r="G14" s="203">
        <v>2100</v>
      </c>
      <c r="H14" s="42" t="s">
        <v>105</v>
      </c>
      <c r="I14" s="42">
        <v>4</v>
      </c>
      <c r="J14" s="42">
        <v>20</v>
      </c>
      <c r="K14" s="41">
        <f>G14-G14/3*2+150*2</f>
        <v>1000</v>
      </c>
      <c r="L14" s="50">
        <f t="shared" ref="L14:L77" si="1">I14*(J14/10)^2*0.617*K14/1000</f>
        <v>9.8719999999999999</v>
      </c>
      <c r="M14" s="203">
        <f>(2*F14+E14)*G14/10^6</f>
        <v>2.1</v>
      </c>
      <c r="N14" s="203">
        <f>PRODUCT(E14:G19)/10^9</f>
        <v>0.2205</v>
      </c>
      <c r="O14" s="203">
        <f>SUM(L14:L19)</f>
        <v>77.68138824282353</v>
      </c>
      <c r="P14" s="189">
        <v>1</v>
      </c>
      <c r="Q14" s="189"/>
    </row>
    <row r="15" spans="1:17" x14ac:dyDescent="0.15">
      <c r="B15" s="225"/>
      <c r="C15" s="209"/>
      <c r="D15" s="221"/>
      <c r="E15" s="221"/>
      <c r="F15" s="201"/>
      <c r="G15" s="201"/>
      <c r="H15" s="42" t="s">
        <v>95</v>
      </c>
      <c r="I15" s="42">
        <v>4</v>
      </c>
      <c r="J15" s="42">
        <v>20</v>
      </c>
      <c r="K15" s="41">
        <f>G14/3+MAX($D$3*J15,0.4*$D$3*J15+15*J15,MAX(柱工程量计算!$E$3:$F$72)-$E$3+15*J15)</f>
        <v>1570</v>
      </c>
      <c r="L15" s="50">
        <f t="shared" si="1"/>
        <v>15.499039999999999</v>
      </c>
      <c r="M15" s="201"/>
      <c r="N15" s="201"/>
      <c r="O15" s="201"/>
      <c r="P15" s="189"/>
      <c r="Q15" s="189"/>
    </row>
    <row r="16" spans="1:17" x14ac:dyDescent="0.15">
      <c r="B16" s="225"/>
      <c r="C16" s="209"/>
      <c r="D16" s="221"/>
      <c r="E16" s="221"/>
      <c r="F16" s="201"/>
      <c r="G16" s="201"/>
      <c r="H16" s="42" t="s">
        <v>98</v>
      </c>
      <c r="I16" s="42">
        <v>4</v>
      </c>
      <c r="J16" s="42">
        <v>20</v>
      </c>
      <c r="K16" s="41">
        <f>G14/3+MAX($D$3*J16,0.4*$D$3*J16+15*J16,MAX(柱工程量计算!$E$3:$F$72)-$E$3+15*J16)</f>
        <v>1570</v>
      </c>
      <c r="L16" s="50">
        <f t="shared" si="1"/>
        <v>15.499039999999999</v>
      </c>
      <c r="M16" s="201"/>
      <c r="N16" s="201"/>
      <c r="O16" s="201"/>
      <c r="P16" s="189"/>
      <c r="Q16" s="189"/>
    </row>
    <row r="17" spans="1:17" x14ac:dyDescent="0.15">
      <c r="B17" s="225"/>
      <c r="C17" s="209"/>
      <c r="D17" s="221"/>
      <c r="E17" s="221"/>
      <c r="F17" s="201"/>
      <c r="G17" s="201"/>
      <c r="H17" s="42" t="s">
        <v>101</v>
      </c>
      <c r="I17" s="42">
        <v>3</v>
      </c>
      <c r="J17" s="42">
        <v>20</v>
      </c>
      <c r="K17" s="41">
        <f>G14+2*IF((MAX(柱工程量计算!$E$3:$F$72)-$E$3)&gt;$D$3*J17,MAX($D$3*J17,0.5*MAX(柱工程量计算!$E$3:$F$72)+5*J17),MAX($D$3*J17,0.4*$D$3*J17+15*J17))</f>
        <v>3150</v>
      </c>
      <c r="L17" s="50">
        <f t="shared" si="1"/>
        <v>23.322599999999998</v>
      </c>
      <c r="M17" s="201"/>
      <c r="N17" s="201"/>
      <c r="O17" s="201"/>
      <c r="P17" s="189"/>
      <c r="Q17" s="189"/>
    </row>
    <row r="18" spans="1:17" s="43" customFormat="1" x14ac:dyDescent="0.15">
      <c r="A18" s="195"/>
      <c r="B18" s="225"/>
      <c r="C18" s="209"/>
      <c r="D18" s="221"/>
      <c r="E18" s="221"/>
      <c r="F18" s="201"/>
      <c r="G18" s="201"/>
      <c r="H18" s="42" t="s">
        <v>107</v>
      </c>
      <c r="I18" s="42">
        <f>((G14-50*2)/200*2+1)*$I$6/2</f>
        <v>42</v>
      </c>
      <c r="J18" s="42">
        <f>IF(E14&lt;=350,6,8)</f>
        <v>6</v>
      </c>
      <c r="K18" s="41">
        <f>E14-2*$E$3+2*1.9*J18+2*MAX(10*J18,75)+2*J18</f>
        <v>424.8</v>
      </c>
      <c r="L18" s="50">
        <f t="shared" si="1"/>
        <v>3.9629761919999997</v>
      </c>
      <c r="M18" s="201"/>
      <c r="N18" s="201"/>
      <c r="O18" s="201"/>
      <c r="P18" s="189"/>
      <c r="Q18" s="189"/>
    </row>
    <row r="19" spans="1:17" s="43" customFormat="1" x14ac:dyDescent="0.15">
      <c r="A19" s="195"/>
      <c r="B19" s="225"/>
      <c r="C19" s="209"/>
      <c r="D19" s="222"/>
      <c r="E19" s="222"/>
      <c r="F19" s="202"/>
      <c r="G19" s="202"/>
      <c r="H19" s="42" t="s">
        <v>108</v>
      </c>
      <c r="I19" s="42">
        <f>2*((IF($B$3="一级",MAX(2*F14,500),MAX(1.5*F14,500))-50)/85+1)+(G14-2*IF($B$3="一级",MAX(2*F14,500),MAX(1.5*F14,500)))/170-1</f>
        <v>18.352941176470587</v>
      </c>
      <c r="J19" s="42">
        <v>8</v>
      </c>
      <c r="K19" s="42">
        <f>(E14-2*$E$3+2*J19)*2+(F14-2*$E$3+2*J19)*2+2*1.9*J19+2*MAX(10*J19,75)</f>
        <v>1314.4</v>
      </c>
      <c r="L19" s="50">
        <f t="shared" si="1"/>
        <v>9.5257320508235317</v>
      </c>
      <c r="M19" s="202"/>
      <c r="N19" s="202"/>
      <c r="O19" s="202"/>
      <c r="P19" s="189"/>
      <c r="Q19" s="189"/>
    </row>
    <row r="20" spans="1:17" x14ac:dyDescent="0.15">
      <c r="B20" s="225"/>
      <c r="C20" s="209"/>
      <c r="D20" s="209">
        <v>1</v>
      </c>
      <c r="E20" s="209">
        <v>250</v>
      </c>
      <c r="F20" s="189">
        <v>500</v>
      </c>
      <c r="G20" s="189">
        <v>6000</v>
      </c>
      <c r="H20" s="42" t="s">
        <v>109</v>
      </c>
      <c r="I20" s="42">
        <v>2</v>
      </c>
      <c r="J20" s="42">
        <v>22</v>
      </c>
      <c r="K20" s="41">
        <f>G20-G20/3*2+150*2</f>
        <v>2300</v>
      </c>
      <c r="L20" s="50">
        <f t="shared" si="1"/>
        <v>13.736888</v>
      </c>
      <c r="M20" s="203">
        <f>(2*F20+E20)*G20/10^6</f>
        <v>7.5</v>
      </c>
      <c r="N20" s="203">
        <f>PRODUCT(E20:G28)/10^9</f>
        <v>0.75</v>
      </c>
      <c r="O20" s="203">
        <f>SUM(L20:L28)</f>
        <v>197.35433571999999</v>
      </c>
      <c r="P20" s="189">
        <v>1</v>
      </c>
      <c r="Q20" s="189"/>
    </row>
    <row r="21" spans="1:17" x14ac:dyDescent="0.15">
      <c r="B21" s="225"/>
      <c r="C21" s="209"/>
      <c r="D21" s="209"/>
      <c r="E21" s="209"/>
      <c r="F21" s="189"/>
      <c r="G21" s="189"/>
      <c r="H21" s="42" t="s">
        <v>112</v>
      </c>
      <c r="I21" s="42">
        <v>4</v>
      </c>
      <c r="J21" s="42">
        <v>22</v>
      </c>
      <c r="K21" s="41">
        <f>G20/3+MAX($D$3*J21,0.4*$D$3*J21+15*J21,MAX(柱工程量计算!$E$3:$F$72)-$E$3+15*J21)</f>
        <v>2900</v>
      </c>
      <c r="L21" s="50">
        <f t="shared" si="1"/>
        <v>34.640848000000005</v>
      </c>
      <c r="M21" s="201"/>
      <c r="N21" s="201"/>
      <c r="O21" s="201"/>
      <c r="P21" s="189"/>
      <c r="Q21" s="189"/>
    </row>
    <row r="22" spans="1:17" x14ac:dyDescent="0.15">
      <c r="B22" s="225"/>
      <c r="C22" s="209"/>
      <c r="D22" s="209"/>
      <c r="E22" s="209"/>
      <c r="F22" s="189"/>
      <c r="G22" s="189"/>
      <c r="H22" s="42" t="s">
        <v>117</v>
      </c>
      <c r="I22" s="42">
        <v>4</v>
      </c>
      <c r="J22" s="42">
        <v>22</v>
      </c>
      <c r="K22" s="41">
        <f>G20/3+MAX($D$3*J22,0.4*$D$3*J22+15*J22,MAX(柱工程量计算!$E$3:$F$72)-$E$3+15*J22)</f>
        <v>2900</v>
      </c>
      <c r="L22" s="50">
        <f t="shared" si="1"/>
        <v>34.640848000000005</v>
      </c>
      <c r="M22" s="201"/>
      <c r="N22" s="201"/>
      <c r="O22" s="201"/>
      <c r="P22" s="189"/>
      <c r="Q22" s="189"/>
    </row>
    <row r="23" spans="1:17" x14ac:dyDescent="0.15">
      <c r="B23" s="225"/>
      <c r="C23" s="209"/>
      <c r="D23" s="209"/>
      <c r="E23" s="209"/>
      <c r="F23" s="189"/>
      <c r="G23" s="189"/>
      <c r="H23" s="42" t="s">
        <v>118</v>
      </c>
      <c r="I23" s="42">
        <v>2</v>
      </c>
      <c r="J23" s="42">
        <v>18</v>
      </c>
      <c r="K23" s="41">
        <f>G20/4+MAX($D$3*J23,0.4*$D$3*J23+15*J23,MAX(柱工程量计算!$E$3:$F$72)-$E$3+15*J23)</f>
        <v>2340</v>
      </c>
      <c r="L23" s="50">
        <f t="shared" si="1"/>
        <v>9.3556944000000009</v>
      </c>
      <c r="M23" s="201"/>
      <c r="N23" s="201"/>
      <c r="O23" s="201"/>
      <c r="P23" s="189"/>
      <c r="Q23" s="189"/>
    </row>
    <row r="24" spans="1:17" x14ac:dyDescent="0.15">
      <c r="B24" s="225"/>
      <c r="C24" s="209"/>
      <c r="D24" s="209"/>
      <c r="E24" s="209"/>
      <c r="F24" s="189"/>
      <c r="G24" s="189"/>
      <c r="H24" s="42" t="s">
        <v>100</v>
      </c>
      <c r="I24" s="42">
        <v>4</v>
      </c>
      <c r="J24" s="42">
        <v>12</v>
      </c>
      <c r="K24" s="41">
        <f>IF(F20&gt;=450,G20+2*IF((MAX(柱工程量计算!$E$3:$F$72)-$E$3)&gt;$D$3*J24,MAX($D$3*J24,0.5*MAX(柱工程量计算!$E$3:$F$72)+5*J24),MAX($D$3*J24,0.4*$D$3*J24+15*J24)),G20+15*J24)</f>
        <v>6720</v>
      </c>
      <c r="L24" s="50">
        <f t="shared" si="1"/>
        <v>23.882342399999999</v>
      </c>
      <c r="M24" s="201"/>
      <c r="N24" s="201"/>
      <c r="O24" s="201"/>
      <c r="P24" s="189"/>
      <c r="Q24" s="189"/>
    </row>
    <row r="25" spans="1:17" s="46" customFormat="1" x14ac:dyDescent="0.15">
      <c r="A25" s="195"/>
      <c r="B25" s="225"/>
      <c r="C25" s="209"/>
      <c r="D25" s="209"/>
      <c r="E25" s="209"/>
      <c r="F25" s="189"/>
      <c r="G25" s="189"/>
      <c r="H25" s="45" t="s">
        <v>116</v>
      </c>
      <c r="I25" s="45">
        <v>2</v>
      </c>
      <c r="J25" s="45">
        <v>20</v>
      </c>
      <c r="K25" s="47">
        <f>G20+2*IF((MAX(柱工程量计算!$E$3:$F$72)-$E$3)&gt;$D$3*J25,MAX($D$3*J25,0.5*MAX(柱工程量计算!$E$3:$F$72)+5*J25),MAX($D$3*J25,0.4*$D$3*J25+15*J25))</f>
        <v>7050</v>
      </c>
      <c r="L25" s="50">
        <f t="shared" si="1"/>
        <v>34.7988</v>
      </c>
      <c r="M25" s="201"/>
      <c r="N25" s="201"/>
      <c r="O25" s="201"/>
      <c r="P25" s="189"/>
      <c r="Q25" s="189"/>
    </row>
    <row r="26" spans="1:17" x14ac:dyDescent="0.15">
      <c r="B26" s="225"/>
      <c r="C26" s="209"/>
      <c r="D26" s="209"/>
      <c r="E26" s="209"/>
      <c r="F26" s="189"/>
      <c r="G26" s="189"/>
      <c r="H26" s="42" t="s">
        <v>115</v>
      </c>
      <c r="I26" s="42">
        <v>1</v>
      </c>
      <c r="J26" s="42">
        <v>18</v>
      </c>
      <c r="K26" s="41">
        <f>G20+2*IF((MAX(柱工程量计算!$E$3:$F$72)-$E$3)&gt;$D$3*J26,MAX($D$3*J26,0.5*MAX(柱工程量计算!$E$3:$F$72)+5*J26),MAX($D$3*J26,0.4*$D$3*J26+15*J26))</f>
        <v>6945</v>
      </c>
      <c r="L26" s="50">
        <f t="shared" si="1"/>
        <v>13.883610600000003</v>
      </c>
      <c r="M26" s="201"/>
      <c r="N26" s="201"/>
      <c r="O26" s="201"/>
      <c r="P26" s="189"/>
      <c r="Q26" s="189"/>
    </row>
    <row r="27" spans="1:17" x14ac:dyDescent="0.15">
      <c r="B27" s="225"/>
      <c r="C27" s="209"/>
      <c r="D27" s="209"/>
      <c r="E27" s="209"/>
      <c r="F27" s="189"/>
      <c r="G27" s="189"/>
      <c r="H27" s="42" t="s">
        <v>107</v>
      </c>
      <c r="I27" s="42">
        <f>((G20-50*2)/200*2+1)*$I$6/2</f>
        <v>120</v>
      </c>
      <c r="J27" s="42">
        <f>IF(E20&lt;=350,6,8)</f>
        <v>6</v>
      </c>
      <c r="K27" s="41">
        <f>E20-2*$E$3+2*1.9*J27+2*MAX(10*J27,75)+2*J27</f>
        <v>374.8</v>
      </c>
      <c r="L27" s="50">
        <f t="shared" si="1"/>
        <v>9.9900691199999976</v>
      </c>
      <c r="M27" s="201"/>
      <c r="N27" s="201"/>
      <c r="O27" s="201"/>
      <c r="P27" s="189"/>
      <c r="Q27" s="189"/>
    </row>
    <row r="28" spans="1:17" x14ac:dyDescent="0.15">
      <c r="B28" s="225"/>
      <c r="C28" s="209"/>
      <c r="D28" s="209"/>
      <c r="E28" s="209"/>
      <c r="F28" s="189"/>
      <c r="G28" s="189"/>
      <c r="H28" s="42" t="s">
        <v>108</v>
      </c>
      <c r="I28" s="42">
        <f>2*((IF($B$3="一级",MAX(2*F20,500),MAX(1.5*F20,500))-50)/100+1)+(G20-2*IF($B$3="一级",MAX(2*F20,500),MAX(1.5*F20,500)))/200-1</f>
        <v>37.5</v>
      </c>
      <c r="J28" s="42">
        <v>8</v>
      </c>
      <c r="K28" s="42">
        <f>(E20-2*$E$3+2*J28)*2+(F20-2*$E$3+2*J28)*2+2*1.9*J28+2*MAX(10*J28,75)</f>
        <v>1514.4</v>
      </c>
      <c r="L28" s="50">
        <f t="shared" si="1"/>
        <v>22.425235200000003</v>
      </c>
      <c r="M28" s="202"/>
      <c r="N28" s="202"/>
      <c r="O28" s="202"/>
      <c r="P28" s="189"/>
      <c r="Q28" s="189"/>
    </row>
    <row r="29" spans="1:17" x14ac:dyDescent="0.15">
      <c r="B29" s="225"/>
      <c r="C29" s="220" t="s">
        <v>119</v>
      </c>
      <c r="D29" s="218" t="s">
        <v>106</v>
      </c>
      <c r="E29" s="219"/>
      <c r="F29" s="218">
        <v>15300</v>
      </c>
      <c r="G29" s="219"/>
      <c r="H29" s="45" t="s">
        <v>103</v>
      </c>
      <c r="I29" s="45">
        <v>2</v>
      </c>
      <c r="J29" s="45">
        <v>20</v>
      </c>
      <c r="K29" s="47">
        <f>F29+2*IF((MAX(柱工程量计算!$E$3:$F$72)-$E$3)&gt;$D$3*J29,MAX($D$3*J29,0.5*MAX(柱工程量计算!$E$3:$F$72)+5*J29,MAX($D$3*J29,0.4*$D$3*J29+15*J29)))</f>
        <v>16350</v>
      </c>
      <c r="L29" s="50">
        <f t="shared" si="1"/>
        <v>80.703600000000009</v>
      </c>
      <c r="M29" s="189">
        <f>(2*F30+D30)*G30/10^6</f>
        <v>6.0060000000000002</v>
      </c>
      <c r="N29" s="189">
        <f>PRODUCT(E30:G36)/10^9</f>
        <v>0.75</v>
      </c>
      <c r="O29" s="189">
        <f>SUM(L29:L36)</f>
        <v>242.20737284</v>
      </c>
      <c r="P29" s="189">
        <v>1</v>
      </c>
      <c r="Q29" s="189"/>
    </row>
    <row r="30" spans="1:17" x14ac:dyDescent="0.15">
      <c r="B30" s="225"/>
      <c r="C30" s="221"/>
      <c r="D30" s="220">
        <v>1</v>
      </c>
      <c r="E30" s="220">
        <v>250</v>
      </c>
      <c r="F30" s="203">
        <v>500</v>
      </c>
      <c r="G30" s="203">
        <v>6000</v>
      </c>
      <c r="H30" s="45" t="s">
        <v>95</v>
      </c>
      <c r="I30" s="45">
        <v>4</v>
      </c>
      <c r="J30" s="45">
        <v>20</v>
      </c>
      <c r="K30" s="47">
        <f>$G$7/3+MAX($D$3*J30,0.4*$D$3*J30+15*J30,MAX(柱工程量计算!$E$3:$F$72)-$E$3+15*J30)</f>
        <v>2870</v>
      </c>
      <c r="L30" s="50">
        <f t="shared" si="1"/>
        <v>28.332639999999998</v>
      </c>
      <c r="M30" s="189"/>
      <c r="N30" s="189"/>
      <c r="O30" s="189"/>
      <c r="P30" s="189"/>
      <c r="Q30" s="189"/>
    </row>
    <row r="31" spans="1:17" x14ac:dyDescent="0.15">
      <c r="B31" s="225"/>
      <c r="C31" s="221"/>
      <c r="D31" s="221"/>
      <c r="E31" s="221"/>
      <c r="F31" s="201"/>
      <c r="G31" s="201"/>
      <c r="H31" s="45" t="s">
        <v>97</v>
      </c>
      <c r="I31" s="45">
        <v>3</v>
      </c>
      <c r="J31" s="45">
        <v>20</v>
      </c>
      <c r="K31" s="47">
        <f>$G$7/4+MAX($D$3*J31,0.4*$D$3*J31+15*J31,MAX(柱工程量计算!$E$3:$F$72)-$E$3+15*J31)</f>
        <v>2370</v>
      </c>
      <c r="L31" s="50">
        <f t="shared" si="1"/>
        <v>17.54748</v>
      </c>
      <c r="M31" s="189"/>
      <c r="N31" s="189"/>
      <c r="O31" s="189"/>
      <c r="P31" s="189"/>
      <c r="Q31" s="189"/>
    </row>
    <row r="32" spans="1:17" x14ac:dyDescent="0.15">
      <c r="B32" s="225"/>
      <c r="C32" s="221"/>
      <c r="D32" s="221"/>
      <c r="E32" s="221"/>
      <c r="F32" s="201"/>
      <c r="G32" s="201"/>
      <c r="H32" s="45" t="s">
        <v>98</v>
      </c>
      <c r="I32" s="45">
        <v>4</v>
      </c>
      <c r="J32" s="45">
        <v>20</v>
      </c>
      <c r="K32" s="47">
        <f>$G$7/3+MAX($D$3*J32,0.4*$D$3*J32+15*J32,MAX(柱工程量计算!$E$3:$F$72)-$E$3+15*J32)</f>
        <v>2870</v>
      </c>
      <c r="L32" s="50">
        <f t="shared" si="1"/>
        <v>28.332639999999998</v>
      </c>
      <c r="M32" s="189"/>
      <c r="N32" s="189"/>
      <c r="O32" s="189"/>
      <c r="P32" s="189"/>
      <c r="Q32" s="189"/>
    </row>
    <row r="33" spans="1:17" x14ac:dyDescent="0.15">
      <c r="B33" s="225"/>
      <c r="C33" s="221"/>
      <c r="D33" s="221"/>
      <c r="E33" s="221"/>
      <c r="F33" s="201"/>
      <c r="G33" s="201"/>
      <c r="H33" s="45" t="s">
        <v>99</v>
      </c>
      <c r="I33" s="45">
        <v>2</v>
      </c>
      <c r="J33" s="45">
        <v>20</v>
      </c>
      <c r="K33" s="47">
        <f>$G$7/4+MAX($D$3*J33,0.4*$D$3*J33+15*J33,MAX(柱工程量计算!$E$3:$F$72)-$E$3+15*J33)</f>
        <v>2370</v>
      </c>
      <c r="L33" s="50">
        <f t="shared" si="1"/>
        <v>11.698319999999999</v>
      </c>
      <c r="M33" s="189"/>
      <c r="N33" s="189"/>
      <c r="O33" s="189"/>
      <c r="P33" s="189"/>
      <c r="Q33" s="189"/>
    </row>
    <row r="34" spans="1:17" s="46" customFormat="1" x14ac:dyDescent="0.15">
      <c r="A34" s="195"/>
      <c r="B34" s="225"/>
      <c r="C34" s="221"/>
      <c r="D34" s="221"/>
      <c r="E34" s="221"/>
      <c r="F34" s="201"/>
      <c r="G34" s="201"/>
      <c r="H34" s="45" t="s">
        <v>121</v>
      </c>
      <c r="I34" s="45">
        <v>2</v>
      </c>
      <c r="J34" s="45">
        <v>20</v>
      </c>
      <c r="K34" s="47">
        <f>$G$7+2*IF((MAX(柱工程量计算!$E$3:$F$72)-$E$3)&gt;$D$3*J34,MAX($D$3*J34,0.5*MAX(柱工程量计算!$E$3:$F$72)+5*J34),MAX($D$3*J34,0.4*$D$3*J34+15*J34))</f>
        <v>7050</v>
      </c>
      <c r="L34" s="50">
        <f t="shared" si="1"/>
        <v>34.7988</v>
      </c>
      <c r="M34" s="189"/>
      <c r="N34" s="189"/>
      <c r="O34" s="189"/>
      <c r="P34" s="189"/>
      <c r="Q34" s="189"/>
    </row>
    <row r="35" spans="1:17" x14ac:dyDescent="0.15">
      <c r="B35" s="225"/>
      <c r="C35" s="221"/>
      <c r="D35" s="221"/>
      <c r="E35" s="221"/>
      <c r="F35" s="201"/>
      <c r="G35" s="201"/>
      <c r="H35" s="45" t="s">
        <v>120</v>
      </c>
      <c r="I35" s="45">
        <v>1</v>
      </c>
      <c r="J35" s="45">
        <v>18</v>
      </c>
      <c r="K35" s="47">
        <f>$G$7+2*IF((MAX(柱工程量计算!$E$3:$F$72)-$E$3)&gt;$D$3*J35,MAX($D$3*J35,0.5*MAX(柱工程量计算!$E$3:$F$72)+5*J35),MAX($D$3*J35,0.4*$D$3*J35+15*J35))</f>
        <v>6945</v>
      </c>
      <c r="L35" s="50">
        <f t="shared" si="1"/>
        <v>13.883610600000003</v>
      </c>
      <c r="M35" s="189"/>
      <c r="N35" s="189"/>
      <c r="O35" s="189"/>
      <c r="P35" s="189"/>
      <c r="Q35" s="189"/>
    </row>
    <row r="36" spans="1:17" x14ac:dyDescent="0.15">
      <c r="B36" s="225"/>
      <c r="C36" s="221"/>
      <c r="D36" s="222"/>
      <c r="E36" s="222"/>
      <c r="F36" s="202"/>
      <c r="G36" s="202"/>
      <c r="H36" s="45" t="s">
        <v>108</v>
      </c>
      <c r="I36" s="45">
        <f>2*((IF(B27="一级",MAX(2*F30,500),MAX(1.5*F30,500))-50)/100+1)+(G30-2*IF(B27="一级",MAX(2*F30,500),MAX(1.5*F30,500)))/150-1</f>
        <v>45</v>
      </c>
      <c r="J36" s="45">
        <v>8</v>
      </c>
      <c r="K36" s="45">
        <f>(E30-2*$E$3+2*J36)*2+(F30-2*$E$3+2*J36)*2+2*1.9*J36+2*MAX(10*J36,75)</f>
        <v>1514.4</v>
      </c>
      <c r="L36" s="50">
        <f t="shared" si="1"/>
        <v>26.910282240000008</v>
      </c>
      <c r="M36" s="189"/>
      <c r="N36" s="189"/>
      <c r="O36" s="189"/>
      <c r="P36" s="189"/>
      <c r="Q36" s="189"/>
    </row>
    <row r="37" spans="1:17" x14ac:dyDescent="0.15">
      <c r="B37" s="225"/>
      <c r="C37" s="221"/>
      <c r="D37" s="220">
        <v>1</v>
      </c>
      <c r="E37" s="220">
        <v>300</v>
      </c>
      <c r="F37" s="203">
        <v>350</v>
      </c>
      <c r="G37" s="203">
        <v>2100</v>
      </c>
      <c r="H37" s="45" t="s">
        <v>105</v>
      </c>
      <c r="I37" s="45">
        <v>3</v>
      </c>
      <c r="J37" s="45">
        <v>25</v>
      </c>
      <c r="K37" s="47">
        <f>G37-G37/3*2+150*2</f>
        <v>1000</v>
      </c>
      <c r="L37" s="50">
        <f t="shared" si="1"/>
        <v>11.56875</v>
      </c>
      <c r="M37" s="189">
        <f>(2*F37+E37)*G37/10^6</f>
        <v>2.1</v>
      </c>
      <c r="N37" s="189">
        <f>PRODUCT(E37:G42)/10^9</f>
        <v>0.2205</v>
      </c>
      <c r="O37" s="189">
        <f>SUM(L37:L42)</f>
        <v>93.248775800823537</v>
      </c>
      <c r="P37" s="189">
        <v>1</v>
      </c>
      <c r="Q37" s="189"/>
    </row>
    <row r="38" spans="1:17" x14ac:dyDescent="0.15">
      <c r="B38" s="225"/>
      <c r="C38" s="221"/>
      <c r="D38" s="221"/>
      <c r="E38" s="221"/>
      <c r="F38" s="201"/>
      <c r="G38" s="201"/>
      <c r="H38" s="45" t="s">
        <v>95</v>
      </c>
      <c r="I38" s="45">
        <v>3</v>
      </c>
      <c r="J38" s="45">
        <v>25</v>
      </c>
      <c r="K38" s="47">
        <f>G37/3+MAX($D$3*J38,0.4*$D$3*J38+15*J38,MAX(柱工程量计算!$E$3:$F$72)-$E$3+15*J38)</f>
        <v>1645</v>
      </c>
      <c r="L38" s="50">
        <f t="shared" si="1"/>
        <v>19.030593750000001</v>
      </c>
      <c r="M38" s="189"/>
      <c r="N38" s="189"/>
      <c r="O38" s="189"/>
      <c r="P38" s="189"/>
      <c r="Q38" s="189"/>
    </row>
    <row r="39" spans="1:17" x14ac:dyDescent="0.15">
      <c r="B39" s="225"/>
      <c r="C39" s="221"/>
      <c r="D39" s="221"/>
      <c r="E39" s="221"/>
      <c r="F39" s="201"/>
      <c r="G39" s="201"/>
      <c r="H39" s="45" t="s">
        <v>98</v>
      </c>
      <c r="I39" s="45">
        <v>3</v>
      </c>
      <c r="J39" s="45">
        <v>25</v>
      </c>
      <c r="K39" s="47">
        <f>G37/3+MAX($D$3*J39,0.4*$D$3*J39+15*J39,MAX(柱工程量计算!$E$3:$F$72)-$E$3+15*J39)</f>
        <v>1645</v>
      </c>
      <c r="L39" s="50">
        <f t="shared" si="1"/>
        <v>19.030593750000001</v>
      </c>
      <c r="M39" s="189"/>
      <c r="N39" s="189"/>
      <c r="O39" s="189"/>
      <c r="P39" s="189"/>
      <c r="Q39" s="189"/>
    </row>
    <row r="40" spans="1:17" s="46" customFormat="1" x14ac:dyDescent="0.15">
      <c r="A40" s="195"/>
      <c r="B40" s="225"/>
      <c r="C40" s="221"/>
      <c r="D40" s="221"/>
      <c r="E40" s="221"/>
      <c r="F40" s="201"/>
      <c r="G40" s="201"/>
      <c r="H40" s="45" t="s">
        <v>116</v>
      </c>
      <c r="I40" s="45">
        <v>2</v>
      </c>
      <c r="J40" s="45">
        <v>25</v>
      </c>
      <c r="K40" s="47">
        <f>G37+2*IF((MAX(柱工程量计算!$E$3:$F$72)-$E$3)&gt;$D$3*J40,MAX($D$3*J40,0.5*MAX(柱工程量计算!$E$3:$F$72)+5*J40),MAX($D$3*J40,0.4*$D$3*J40+15*J40))</f>
        <v>3412.5</v>
      </c>
      <c r="L40" s="50">
        <f t="shared" si="1"/>
        <v>26.318906250000001</v>
      </c>
      <c r="M40" s="189"/>
      <c r="N40" s="189"/>
      <c r="O40" s="189"/>
      <c r="P40" s="189"/>
      <c r="Q40" s="189"/>
    </row>
    <row r="41" spans="1:17" x14ac:dyDescent="0.15">
      <c r="B41" s="225"/>
      <c r="C41" s="221"/>
      <c r="D41" s="221"/>
      <c r="E41" s="221"/>
      <c r="F41" s="201"/>
      <c r="G41" s="201"/>
      <c r="H41" s="45" t="s">
        <v>115</v>
      </c>
      <c r="I41" s="45">
        <v>1</v>
      </c>
      <c r="J41" s="45">
        <v>20</v>
      </c>
      <c r="K41" s="47">
        <f>G37+2*IF((MAX(柱工程量计算!$E$3:$F$72)-$E$3)&gt;$D$3*J41,MAX($D$3*J41,0.5*MAX(柱工程量计算!$E$3:$F$72)+5*J41),MAX($D$3*J41,0.4*$D$3*J41+15*J41))</f>
        <v>3150</v>
      </c>
      <c r="L41" s="50">
        <f t="shared" si="1"/>
        <v>7.7741999999999996</v>
      </c>
      <c r="M41" s="189"/>
      <c r="N41" s="189"/>
      <c r="O41" s="189"/>
      <c r="P41" s="189"/>
      <c r="Q41" s="189"/>
    </row>
    <row r="42" spans="1:17" x14ac:dyDescent="0.15">
      <c r="B42" s="225"/>
      <c r="C42" s="221"/>
      <c r="D42" s="222"/>
      <c r="E42" s="222"/>
      <c r="F42" s="202"/>
      <c r="G42" s="202"/>
      <c r="H42" s="45" t="s">
        <v>108</v>
      </c>
      <c r="I42" s="45">
        <f>2*((IF($B$3="一级",MAX(2*F37,500),MAX(1.5*F37,500))-50)/85+1)+(G37-2*IF($B$3="一级",MAX(2*F37,500),MAX(1.5*F37,500)))/170-1</f>
        <v>18.352941176470587</v>
      </c>
      <c r="J42" s="45">
        <v>8</v>
      </c>
      <c r="K42" s="45">
        <f>(E37-2*$E$3+2*J42)*2+(F37-2*$E$3+2*J42)*2+2*1.9*J42+2*MAX(10*J42,75)</f>
        <v>1314.4</v>
      </c>
      <c r="L42" s="50">
        <f t="shared" si="1"/>
        <v>9.5257320508235317</v>
      </c>
      <c r="M42" s="189"/>
      <c r="N42" s="189"/>
      <c r="O42" s="189"/>
      <c r="P42" s="189"/>
      <c r="Q42" s="189"/>
    </row>
    <row r="43" spans="1:17" x14ac:dyDescent="0.15">
      <c r="B43" s="225"/>
      <c r="C43" s="221"/>
      <c r="D43" s="220">
        <v>1</v>
      </c>
      <c r="E43" s="220">
        <v>250</v>
      </c>
      <c r="F43" s="203">
        <v>500</v>
      </c>
      <c r="G43" s="203">
        <v>6000</v>
      </c>
      <c r="H43" s="45" t="s">
        <v>112</v>
      </c>
      <c r="I43" s="45">
        <v>4</v>
      </c>
      <c r="J43" s="45">
        <v>20</v>
      </c>
      <c r="K43" s="47">
        <f>G43/3+MAX($D$3*J43,0.4*$D$3*J43+15*J43,MAX(柱工程量计算!$E$3:$F$72)-$E$3+15*J43)</f>
        <v>2870</v>
      </c>
      <c r="L43" s="50">
        <f t="shared" si="1"/>
        <v>28.332639999999998</v>
      </c>
      <c r="M43" s="189">
        <f>(2*F43+E43)*G43/10^6</f>
        <v>7.5</v>
      </c>
      <c r="N43" s="189">
        <f>PRODUCT(E43:G49)/10^9</f>
        <v>0.75</v>
      </c>
      <c r="O43" s="189">
        <f>SUM(L43:L49)</f>
        <v>163.97177284</v>
      </c>
      <c r="P43" s="189">
        <v>1</v>
      </c>
      <c r="Q43" s="189"/>
    </row>
    <row r="44" spans="1:17" s="46" customFormat="1" x14ac:dyDescent="0.15">
      <c r="A44" s="195"/>
      <c r="B44" s="225"/>
      <c r="C44" s="221"/>
      <c r="D44" s="221"/>
      <c r="E44" s="221"/>
      <c r="F44" s="201"/>
      <c r="G44" s="201"/>
      <c r="H44" s="45" t="s">
        <v>122</v>
      </c>
      <c r="I44" s="45">
        <v>2</v>
      </c>
      <c r="J44" s="45">
        <v>20</v>
      </c>
      <c r="K44" s="47">
        <f>G43/3+MAX($D$3*J44,0.4*$D$3*J44+15*J44,MAX(柱工程量计算!$E$3:$F$72)-$E$3+15*J44)</f>
        <v>2870</v>
      </c>
      <c r="L44" s="50">
        <f t="shared" si="1"/>
        <v>14.166319999999999</v>
      </c>
      <c r="M44" s="189"/>
      <c r="N44" s="189"/>
      <c r="O44" s="189"/>
      <c r="P44" s="189"/>
      <c r="Q44" s="189"/>
    </row>
    <row r="45" spans="1:17" x14ac:dyDescent="0.15">
      <c r="B45" s="225"/>
      <c r="C45" s="221"/>
      <c r="D45" s="221"/>
      <c r="E45" s="221"/>
      <c r="F45" s="201"/>
      <c r="G45" s="201"/>
      <c r="H45" s="45" t="s">
        <v>117</v>
      </c>
      <c r="I45" s="45">
        <v>4</v>
      </c>
      <c r="J45" s="45">
        <v>20</v>
      </c>
      <c r="K45" s="47">
        <f>G43/3+MAX($D$3*J45,0.4*$D$3*J45+15*J45,MAX(柱工程量计算!$E$3:$F$72)-$E$3+15*J45)</f>
        <v>2870</v>
      </c>
      <c r="L45" s="50">
        <f t="shared" si="1"/>
        <v>28.332639999999998</v>
      </c>
      <c r="M45" s="189"/>
      <c r="N45" s="189"/>
      <c r="O45" s="189"/>
      <c r="P45" s="189"/>
      <c r="Q45" s="189"/>
    </row>
    <row r="46" spans="1:17" x14ac:dyDescent="0.15">
      <c r="B46" s="225"/>
      <c r="C46" s="221"/>
      <c r="D46" s="221"/>
      <c r="E46" s="221"/>
      <c r="F46" s="201"/>
      <c r="G46" s="201"/>
      <c r="H46" s="45" t="s">
        <v>118</v>
      </c>
      <c r="I46" s="45">
        <v>3</v>
      </c>
      <c r="J46" s="45">
        <v>20</v>
      </c>
      <c r="K46" s="47">
        <f>G43/4+MAX($D$3*J46,0.4*$D$3*J46+15*J46,MAX(柱工程量计算!$E$3:$F$72)-$E$3+15*J46)</f>
        <v>2370</v>
      </c>
      <c r="L46" s="50">
        <f t="shared" si="1"/>
        <v>17.54748</v>
      </c>
      <c r="M46" s="189"/>
      <c r="N46" s="189"/>
      <c r="O46" s="189"/>
      <c r="P46" s="189"/>
      <c r="Q46" s="189"/>
    </row>
    <row r="47" spans="1:17" x14ac:dyDescent="0.15">
      <c r="B47" s="225"/>
      <c r="C47" s="221"/>
      <c r="D47" s="221"/>
      <c r="E47" s="221"/>
      <c r="F47" s="201"/>
      <c r="G47" s="201"/>
      <c r="H47" s="45" t="s">
        <v>115</v>
      </c>
      <c r="I47" s="45">
        <v>2</v>
      </c>
      <c r="J47" s="45">
        <v>20</v>
      </c>
      <c r="K47" s="47">
        <f>G43+2*IF((MAX(柱工程量计算!$E$3:$F$72)-$E$3)&gt;$D$3*J47,MAX($D$3*J47,0.5*MAX(柱工程量计算!$E$3:$F$72)+5*J47),MAX($D$3*J47,0.4*$D$3*J47+15*J47))</f>
        <v>7050</v>
      </c>
      <c r="L47" s="50">
        <f t="shared" si="1"/>
        <v>34.7988</v>
      </c>
      <c r="M47" s="189"/>
      <c r="N47" s="189"/>
      <c r="O47" s="189"/>
      <c r="P47" s="189"/>
      <c r="Q47" s="189"/>
    </row>
    <row r="48" spans="1:17" x14ac:dyDescent="0.15">
      <c r="B48" s="225"/>
      <c r="C48" s="221"/>
      <c r="D48" s="221"/>
      <c r="E48" s="221"/>
      <c r="F48" s="201"/>
      <c r="G48" s="201"/>
      <c r="H48" s="45" t="s">
        <v>116</v>
      </c>
      <c r="I48" s="45">
        <v>1</v>
      </c>
      <c r="J48" s="45">
        <v>18</v>
      </c>
      <c r="K48" s="47">
        <f>G43+2*IF((MAX(柱工程量计算!$E$3:$F$72)-$E$3)&gt;$D$3*J48,MAX($D$3*J48,0.5*MAX(柱工程量计算!$E$3:$F$72)+5*J48),MAX($D$3*J48,0.4*$D$3*J48+15*J48))</f>
        <v>6945</v>
      </c>
      <c r="L48" s="50">
        <f t="shared" si="1"/>
        <v>13.883610600000003</v>
      </c>
      <c r="M48" s="189"/>
      <c r="N48" s="189"/>
      <c r="O48" s="189"/>
      <c r="P48" s="189"/>
      <c r="Q48" s="189"/>
    </row>
    <row r="49" spans="2:17" x14ac:dyDescent="0.15">
      <c r="B49" s="225"/>
      <c r="C49" s="222"/>
      <c r="D49" s="222"/>
      <c r="E49" s="222"/>
      <c r="F49" s="202"/>
      <c r="G49" s="202"/>
      <c r="H49" s="45" t="s">
        <v>108</v>
      </c>
      <c r="I49" s="45">
        <f>2*((IF($B$3="一级",MAX(2*F43,500),MAX(1.5*F43,500))-50)/100+1)+(G43-2*IF($B$3="一级",MAX(2*F43,500),MAX(1.5*F43,500)))/150-1</f>
        <v>45</v>
      </c>
      <c r="J49" s="45">
        <v>8</v>
      </c>
      <c r="K49" s="45">
        <f>(E43-2*$E$3+2*J49)*2+(F43-2*$E$3+2*J49)*2+2*1.9*J49+2*MAX(10*J49,75)</f>
        <v>1514.4</v>
      </c>
      <c r="L49" s="50">
        <f t="shared" si="1"/>
        <v>26.910282240000008</v>
      </c>
      <c r="M49" s="189"/>
      <c r="N49" s="189"/>
      <c r="O49" s="189"/>
      <c r="P49" s="189"/>
      <c r="Q49" s="189"/>
    </row>
    <row r="50" spans="2:17" x14ac:dyDescent="0.15">
      <c r="B50" s="225"/>
      <c r="C50" s="220" t="s">
        <v>123</v>
      </c>
      <c r="D50" s="218" t="s">
        <v>106</v>
      </c>
      <c r="E50" s="219"/>
      <c r="F50" s="218">
        <v>15300</v>
      </c>
      <c r="G50" s="219"/>
      <c r="H50" s="45" t="s">
        <v>103</v>
      </c>
      <c r="I50" s="45">
        <v>2</v>
      </c>
      <c r="J50" s="45">
        <v>18</v>
      </c>
      <c r="K50" s="47">
        <f>F50+2*IF((MAX(柱工程量计算!$E$3:$F$72)-$E$3)&gt;$D$3*J50,MAX($D$3*J50,0.5*MAX(柱工程量计算!$E$3:$F$72)+5*J50,MAX($D$3*J50,0.4*$D$3*J50+15*J50)))</f>
        <v>16245</v>
      </c>
      <c r="L50" s="50">
        <f t="shared" si="1"/>
        <v>64.9501092</v>
      </c>
      <c r="M50" s="189">
        <f>(2*F51+D51)*G51/10^6</f>
        <v>6.0060000000000002</v>
      </c>
      <c r="N50" s="189">
        <f>PRODUCT(E51:G57)/10^9</f>
        <v>0.75</v>
      </c>
      <c r="O50" s="189">
        <f>SUM(L50:L57)</f>
        <v>218.70683004000003</v>
      </c>
      <c r="P50" s="189">
        <v>1</v>
      </c>
      <c r="Q50" s="189"/>
    </row>
    <row r="51" spans="2:17" x14ac:dyDescent="0.15">
      <c r="B51" s="225"/>
      <c r="C51" s="221"/>
      <c r="D51" s="220">
        <v>1</v>
      </c>
      <c r="E51" s="220">
        <v>250</v>
      </c>
      <c r="F51" s="203">
        <v>500</v>
      </c>
      <c r="G51" s="203">
        <v>6000</v>
      </c>
      <c r="H51" s="45" t="s">
        <v>95</v>
      </c>
      <c r="I51" s="45">
        <v>4</v>
      </c>
      <c r="J51" s="45">
        <v>18</v>
      </c>
      <c r="K51" s="47">
        <f>$G$7/3+MAX($D$3*J51,0.4*$D$3*J51+15*J51,MAX(柱工程量计算!$E$3:$F$72)-$E$3+15*J51)</f>
        <v>2840</v>
      </c>
      <c r="L51" s="50">
        <f t="shared" si="1"/>
        <v>22.7095488</v>
      </c>
      <c r="M51" s="189"/>
      <c r="N51" s="189"/>
      <c r="O51" s="189"/>
      <c r="P51" s="189"/>
      <c r="Q51" s="189"/>
    </row>
    <row r="52" spans="2:17" x14ac:dyDescent="0.15">
      <c r="B52" s="225"/>
      <c r="C52" s="221"/>
      <c r="D52" s="221"/>
      <c r="E52" s="221"/>
      <c r="F52" s="201"/>
      <c r="G52" s="201"/>
      <c r="H52" s="45" t="s">
        <v>97</v>
      </c>
      <c r="I52" s="45">
        <v>4</v>
      </c>
      <c r="J52" s="45">
        <v>18</v>
      </c>
      <c r="K52" s="47">
        <f>$G$7/4+MAX($D$3*J52,0.4*$D$3*J52+15*J52,MAX(柱工程量计算!$E$3:$F$72)-$E$3+15*J52)</f>
        <v>2340</v>
      </c>
      <c r="L52" s="50">
        <f t="shared" si="1"/>
        <v>18.711388800000002</v>
      </c>
      <c r="M52" s="189"/>
      <c r="N52" s="189"/>
      <c r="O52" s="189"/>
      <c r="P52" s="189"/>
      <c r="Q52" s="189"/>
    </row>
    <row r="53" spans="2:17" x14ac:dyDescent="0.15">
      <c r="B53" s="225"/>
      <c r="C53" s="221"/>
      <c r="D53" s="221"/>
      <c r="E53" s="221"/>
      <c r="F53" s="201"/>
      <c r="G53" s="201"/>
      <c r="H53" s="45" t="s">
        <v>98</v>
      </c>
      <c r="I53" s="45">
        <v>4</v>
      </c>
      <c r="J53" s="45">
        <v>18</v>
      </c>
      <c r="K53" s="47">
        <f>$G$7/3+MAX($D$3*J53,0.4*$D$3*J53+15*J53,MAX(柱工程量计算!$E$3:$F$72)-$E$3+15*J53)</f>
        <v>2840</v>
      </c>
      <c r="L53" s="50">
        <f t="shared" si="1"/>
        <v>22.7095488</v>
      </c>
      <c r="M53" s="189"/>
      <c r="N53" s="189"/>
      <c r="O53" s="189"/>
      <c r="P53" s="189"/>
      <c r="Q53" s="189"/>
    </row>
    <row r="54" spans="2:17" x14ac:dyDescent="0.15">
      <c r="B54" s="225"/>
      <c r="C54" s="221"/>
      <c r="D54" s="221"/>
      <c r="E54" s="221"/>
      <c r="F54" s="201"/>
      <c r="G54" s="201"/>
      <c r="H54" s="45" t="s">
        <v>99</v>
      </c>
      <c r="I54" s="45">
        <v>3</v>
      </c>
      <c r="J54" s="45">
        <v>18</v>
      </c>
      <c r="K54" s="47">
        <f>$G$7/4+MAX($D$3*J54,0.4*$D$3*J54+15*J54,MAX(柱工程量计算!$E$3:$F$72)-$E$3+15*J54)</f>
        <v>2340</v>
      </c>
      <c r="L54" s="50">
        <f t="shared" si="1"/>
        <v>14.033541600000001</v>
      </c>
      <c r="M54" s="189"/>
      <c r="N54" s="189"/>
      <c r="O54" s="189"/>
      <c r="P54" s="189"/>
      <c r="Q54" s="189"/>
    </row>
    <row r="55" spans="2:17" x14ac:dyDescent="0.15">
      <c r="B55" s="225"/>
      <c r="C55" s="221"/>
      <c r="D55" s="221"/>
      <c r="E55" s="221"/>
      <c r="F55" s="201"/>
      <c r="G55" s="201"/>
      <c r="H55" s="45" t="s">
        <v>121</v>
      </c>
      <c r="I55" s="45">
        <v>2</v>
      </c>
      <c r="J55" s="45">
        <v>20</v>
      </c>
      <c r="K55" s="47">
        <f>$G$7+2*IF((MAX(柱工程量计算!$E$3:$F$72)-$E$3)&gt;$D$3*J55,MAX($D$3*J55,0.5*MAX(柱工程量计算!$E$3:$F$72)+5*J55),MAX($D$3*J55,0.4*$D$3*J55+15*J55))</f>
        <v>7050</v>
      </c>
      <c r="L55" s="50">
        <f t="shared" si="1"/>
        <v>34.7988</v>
      </c>
      <c r="M55" s="189"/>
      <c r="N55" s="189"/>
      <c r="O55" s="189"/>
      <c r="P55" s="189"/>
      <c r="Q55" s="189"/>
    </row>
    <row r="56" spans="2:17" x14ac:dyDescent="0.15">
      <c r="B56" s="225"/>
      <c r="C56" s="221"/>
      <c r="D56" s="221"/>
      <c r="E56" s="221"/>
      <c r="F56" s="201"/>
      <c r="G56" s="201"/>
      <c r="H56" s="45" t="s">
        <v>120</v>
      </c>
      <c r="I56" s="45">
        <v>1</v>
      </c>
      <c r="J56" s="45">
        <v>18</v>
      </c>
      <c r="K56" s="47">
        <f>$G$7+2*IF((MAX(柱工程量计算!$E$3:$F$72)-$E$3)&gt;$D$3*J56,MAX($D$3*J56,0.5*MAX(柱工程量计算!$E$3:$F$72)+5*J56),MAX($D$3*J56,0.4*$D$3*J56+15*J56))</f>
        <v>6945</v>
      </c>
      <c r="L56" s="50">
        <f t="shared" si="1"/>
        <v>13.883610600000003</v>
      </c>
      <c r="M56" s="189"/>
      <c r="N56" s="189"/>
      <c r="O56" s="189"/>
      <c r="P56" s="189"/>
      <c r="Q56" s="189"/>
    </row>
    <row r="57" spans="2:17" x14ac:dyDescent="0.15">
      <c r="B57" s="225"/>
      <c r="C57" s="221"/>
      <c r="D57" s="222"/>
      <c r="E57" s="222"/>
      <c r="F57" s="202"/>
      <c r="G57" s="202"/>
      <c r="H57" s="45" t="s">
        <v>108</v>
      </c>
      <c r="I57" s="45">
        <f>2*((IF($B$3="一级",MAX(2*F51,500),MAX(1.5*F51,500))-50)/100+1)+(G51-2*IF($B$3="一级",MAX(2*F51,500),MAX(1.5*F51,500)))/150-1</f>
        <v>45</v>
      </c>
      <c r="J57" s="45">
        <v>8</v>
      </c>
      <c r="K57" s="45">
        <f>(E51-2*$E$3+2*J57)*2+(F51-2*$E$3+2*J57)*2+2*1.9*J57+2*MAX(10*J57,75)</f>
        <v>1514.4</v>
      </c>
      <c r="L57" s="50">
        <f t="shared" si="1"/>
        <v>26.910282240000008</v>
      </c>
      <c r="M57" s="189"/>
      <c r="N57" s="189"/>
      <c r="O57" s="189"/>
      <c r="P57" s="189"/>
      <c r="Q57" s="189"/>
    </row>
    <row r="58" spans="2:17" x14ac:dyDescent="0.15">
      <c r="B58" s="225"/>
      <c r="C58" s="221"/>
      <c r="D58" s="220">
        <v>1</v>
      </c>
      <c r="E58" s="220">
        <v>300</v>
      </c>
      <c r="F58" s="203">
        <v>350</v>
      </c>
      <c r="G58" s="203">
        <v>2100</v>
      </c>
      <c r="H58" s="45" t="s">
        <v>105</v>
      </c>
      <c r="I58" s="45">
        <v>3</v>
      </c>
      <c r="J58" s="45">
        <v>25</v>
      </c>
      <c r="K58" s="47">
        <f>G58-G58/3*2+150*2</f>
        <v>1000</v>
      </c>
      <c r="L58" s="50">
        <f t="shared" si="1"/>
        <v>11.56875</v>
      </c>
      <c r="M58" s="189">
        <f>(2*F58+E58)*G58/10^6</f>
        <v>2.1</v>
      </c>
      <c r="N58" s="189">
        <f>PRODUCT(E58:G63)/10^9</f>
        <v>0.2205</v>
      </c>
      <c r="O58" s="189">
        <f>SUM(L58:L63)</f>
        <v>86.37055235082353</v>
      </c>
      <c r="P58" s="189">
        <v>1</v>
      </c>
      <c r="Q58" s="189"/>
    </row>
    <row r="59" spans="2:17" x14ac:dyDescent="0.15">
      <c r="B59" s="225"/>
      <c r="C59" s="221"/>
      <c r="D59" s="221"/>
      <c r="E59" s="221"/>
      <c r="F59" s="201"/>
      <c r="G59" s="201"/>
      <c r="H59" s="45" t="s">
        <v>95</v>
      </c>
      <c r="I59" s="45">
        <v>3</v>
      </c>
      <c r="J59" s="45">
        <v>25</v>
      </c>
      <c r="K59" s="47">
        <f>G58/3+MAX($D$3*J59,0.4*$D$3*J59+15*J59,MAX(柱工程量计算!$E$3:$F$72)-$E$3+15*J59)</f>
        <v>1645</v>
      </c>
      <c r="L59" s="50">
        <f t="shared" si="1"/>
        <v>19.030593750000001</v>
      </c>
      <c r="M59" s="189"/>
      <c r="N59" s="189"/>
      <c r="O59" s="189"/>
      <c r="P59" s="189"/>
      <c r="Q59" s="189"/>
    </row>
    <row r="60" spans="2:17" x14ac:dyDescent="0.15">
      <c r="B60" s="225"/>
      <c r="C60" s="221"/>
      <c r="D60" s="221"/>
      <c r="E60" s="221"/>
      <c r="F60" s="201"/>
      <c r="G60" s="201"/>
      <c r="H60" s="45" t="s">
        <v>98</v>
      </c>
      <c r="I60" s="45">
        <v>3</v>
      </c>
      <c r="J60" s="45">
        <v>25</v>
      </c>
      <c r="K60" s="47">
        <f>G58/3+MAX($D$3*J60,0.4*$D$3*J60+15*J60,MAX(柱工程量计算!$E$3:$F$72)-$E$3+15*J60)</f>
        <v>1645</v>
      </c>
      <c r="L60" s="50">
        <f t="shared" si="1"/>
        <v>19.030593750000001</v>
      </c>
      <c r="M60" s="189"/>
      <c r="N60" s="189"/>
      <c r="O60" s="189"/>
      <c r="P60" s="189"/>
      <c r="Q60" s="189"/>
    </row>
    <row r="61" spans="2:17" x14ac:dyDescent="0.15">
      <c r="B61" s="225"/>
      <c r="C61" s="221"/>
      <c r="D61" s="221"/>
      <c r="E61" s="221"/>
      <c r="F61" s="201"/>
      <c r="G61" s="201"/>
      <c r="H61" s="45" t="s">
        <v>116</v>
      </c>
      <c r="I61" s="45">
        <v>2</v>
      </c>
      <c r="J61" s="45">
        <v>22</v>
      </c>
      <c r="K61" s="47">
        <f>G58+2*IF((MAX(柱工程量计算!$E$3:$F$72)-$E$3)&gt;$D$3*J61,MAX($D$3*J61,0.5*MAX(柱工程量计算!$E$3:$F$72)+5*J61),MAX($D$3*J61,0.4*$D$3*J61+15*J61))</f>
        <v>3255</v>
      </c>
      <c r="L61" s="50">
        <f t="shared" si="1"/>
        <v>19.440682800000001</v>
      </c>
      <c r="M61" s="189"/>
      <c r="N61" s="189"/>
      <c r="O61" s="189"/>
      <c r="P61" s="189"/>
      <c r="Q61" s="189"/>
    </row>
    <row r="62" spans="2:17" x14ac:dyDescent="0.15">
      <c r="B62" s="225"/>
      <c r="C62" s="221"/>
      <c r="D62" s="221"/>
      <c r="E62" s="221"/>
      <c r="F62" s="201"/>
      <c r="G62" s="201"/>
      <c r="H62" s="45" t="s">
        <v>115</v>
      </c>
      <c r="I62" s="45">
        <v>1</v>
      </c>
      <c r="J62" s="45">
        <v>20</v>
      </c>
      <c r="K62" s="47">
        <f>G58+2*IF((MAX(柱工程量计算!$E$3:$F$72)-$E$3)&gt;$D$3*J62,MAX($D$3*J62,0.5*MAX(柱工程量计算!$E$3:$F$72)+5*J62),MAX($D$3*J62,0.4*$D$3*J62+15*J62))</f>
        <v>3150</v>
      </c>
      <c r="L62" s="50">
        <f t="shared" si="1"/>
        <v>7.7741999999999996</v>
      </c>
      <c r="M62" s="189"/>
      <c r="N62" s="189"/>
      <c r="O62" s="189"/>
      <c r="P62" s="189"/>
      <c r="Q62" s="189"/>
    </row>
    <row r="63" spans="2:17" x14ac:dyDescent="0.15">
      <c r="B63" s="225"/>
      <c r="C63" s="221"/>
      <c r="D63" s="222"/>
      <c r="E63" s="222"/>
      <c r="F63" s="202"/>
      <c r="G63" s="202"/>
      <c r="H63" s="45" t="s">
        <v>108</v>
      </c>
      <c r="I63" s="45">
        <f>2*((IF($B$3="一级",MAX(2*F58,500),MAX(1.5*F58,500))-50)/85+1)+(G58-2*IF($B$3="一级",MAX(2*F58,500),MAX(1.5*F58,500)))/170-1</f>
        <v>18.352941176470587</v>
      </c>
      <c r="J63" s="45">
        <v>8</v>
      </c>
      <c r="K63" s="45">
        <f>(E58-2*$E$3+2*J63)*2+(F58-2*$E$3+2*J63)*2+2*1.9*J63+2*MAX(10*J63,75)</f>
        <v>1314.4</v>
      </c>
      <c r="L63" s="50">
        <f t="shared" si="1"/>
        <v>9.5257320508235317</v>
      </c>
      <c r="M63" s="189"/>
      <c r="N63" s="189"/>
      <c r="O63" s="189"/>
      <c r="P63" s="189"/>
      <c r="Q63" s="189"/>
    </row>
    <row r="64" spans="2:17" x14ac:dyDescent="0.15">
      <c r="B64" s="225"/>
      <c r="C64" s="221"/>
      <c r="D64" s="220">
        <v>1</v>
      </c>
      <c r="E64" s="220">
        <v>250</v>
      </c>
      <c r="F64" s="203">
        <v>500</v>
      </c>
      <c r="G64" s="203">
        <v>6000</v>
      </c>
      <c r="H64" s="45" t="s">
        <v>112</v>
      </c>
      <c r="I64" s="45">
        <v>4</v>
      </c>
      <c r="J64" s="45">
        <v>18</v>
      </c>
      <c r="K64" s="47">
        <f>G64/3+MAX($D$3*J64,0.4*$D$3*J64+15*J64,MAX(柱工程量计算!$E$3:$F$72)-$E$3+15*J64)</f>
        <v>2840</v>
      </c>
      <c r="L64" s="50">
        <f t="shared" si="1"/>
        <v>22.7095488</v>
      </c>
      <c r="M64" s="189">
        <f>(2*F64+E64)*G64/10^6</f>
        <v>7.5</v>
      </c>
      <c r="N64" s="189">
        <f>PRODUCT(E64:G70)/10^9</f>
        <v>0.75</v>
      </c>
      <c r="O64" s="189">
        <f>SUM(L64:L70)</f>
        <v>156.75534084000003</v>
      </c>
      <c r="P64" s="189">
        <v>1</v>
      </c>
      <c r="Q64" s="189"/>
    </row>
    <row r="65" spans="2:17" x14ac:dyDescent="0.15">
      <c r="B65" s="225"/>
      <c r="C65" s="221"/>
      <c r="D65" s="221"/>
      <c r="E65" s="221"/>
      <c r="F65" s="201"/>
      <c r="G65" s="201"/>
      <c r="H65" s="45" t="s">
        <v>122</v>
      </c>
      <c r="I65" s="45">
        <v>3</v>
      </c>
      <c r="J65" s="45">
        <v>18</v>
      </c>
      <c r="K65" s="47">
        <f>G64/3+MAX($D$3*J65,0.4*$D$3*J65+15*J65,MAX(柱工程量计算!$E$3:$F$72)-$E$3+15*J65)</f>
        <v>2840</v>
      </c>
      <c r="L65" s="50">
        <f t="shared" si="1"/>
        <v>17.032161600000002</v>
      </c>
      <c r="M65" s="189"/>
      <c r="N65" s="189"/>
      <c r="O65" s="189"/>
      <c r="P65" s="189"/>
      <c r="Q65" s="189"/>
    </row>
    <row r="66" spans="2:17" x14ac:dyDescent="0.15">
      <c r="B66" s="225"/>
      <c r="C66" s="221"/>
      <c r="D66" s="221"/>
      <c r="E66" s="221"/>
      <c r="F66" s="201"/>
      <c r="G66" s="201"/>
      <c r="H66" s="45" t="s">
        <v>117</v>
      </c>
      <c r="I66" s="45">
        <v>4</v>
      </c>
      <c r="J66" s="45">
        <v>18</v>
      </c>
      <c r="K66" s="47">
        <f>G64/3+MAX($D$3*J66,0.4*$D$3*J66+15*J66,MAX(柱工程量计算!$E$3:$F$72)-$E$3+15*J66)</f>
        <v>2840</v>
      </c>
      <c r="L66" s="50">
        <f t="shared" si="1"/>
        <v>22.7095488</v>
      </c>
      <c r="M66" s="189"/>
      <c r="N66" s="189"/>
      <c r="O66" s="189"/>
      <c r="P66" s="189"/>
      <c r="Q66" s="189"/>
    </row>
    <row r="67" spans="2:17" x14ac:dyDescent="0.15">
      <c r="B67" s="225"/>
      <c r="C67" s="221"/>
      <c r="D67" s="221"/>
      <c r="E67" s="221"/>
      <c r="F67" s="201"/>
      <c r="G67" s="201"/>
      <c r="H67" s="45" t="s">
        <v>118</v>
      </c>
      <c r="I67" s="45">
        <v>4</v>
      </c>
      <c r="J67" s="45">
        <v>18</v>
      </c>
      <c r="K67" s="47">
        <f>G64/4+MAX($D$3*J67,0.4*$D$3*J67+15*J67,MAX(柱工程量计算!$E$3:$F$72)-$E$3+15*J67)</f>
        <v>2340</v>
      </c>
      <c r="L67" s="50">
        <f t="shared" si="1"/>
        <v>18.711388800000002</v>
      </c>
      <c r="M67" s="189"/>
      <c r="N67" s="189"/>
      <c r="O67" s="189"/>
      <c r="P67" s="189"/>
      <c r="Q67" s="189"/>
    </row>
    <row r="68" spans="2:17" x14ac:dyDescent="0.15">
      <c r="B68" s="225"/>
      <c r="C68" s="221"/>
      <c r="D68" s="221"/>
      <c r="E68" s="221"/>
      <c r="F68" s="201"/>
      <c r="G68" s="201"/>
      <c r="H68" s="45" t="s">
        <v>115</v>
      </c>
      <c r="I68" s="45">
        <v>2</v>
      </c>
      <c r="J68" s="45">
        <v>20</v>
      </c>
      <c r="K68" s="47">
        <f>G64+2*IF((MAX(柱工程量计算!$E$3:$F$72)-$E$3)&gt;$D$3*J68,MAX($D$3*J68,0.5*MAX(柱工程量计算!$E$3:$F$72)+5*J68),MAX($D$3*J68,0.4*$D$3*J68+15*J68))</f>
        <v>7050</v>
      </c>
      <c r="L68" s="50">
        <f t="shared" si="1"/>
        <v>34.7988</v>
      </c>
      <c r="M68" s="189"/>
      <c r="N68" s="189"/>
      <c r="O68" s="189"/>
      <c r="P68" s="189"/>
      <c r="Q68" s="189"/>
    </row>
    <row r="69" spans="2:17" x14ac:dyDescent="0.15">
      <c r="B69" s="225"/>
      <c r="C69" s="221"/>
      <c r="D69" s="221"/>
      <c r="E69" s="221"/>
      <c r="F69" s="201"/>
      <c r="G69" s="201"/>
      <c r="H69" s="45" t="s">
        <v>116</v>
      </c>
      <c r="I69" s="45">
        <v>1</v>
      </c>
      <c r="J69" s="45">
        <v>18</v>
      </c>
      <c r="K69" s="47">
        <f>G64+2*IF((MAX(柱工程量计算!$E$3:$F$72)-$E$3)&gt;$D$3*J69,MAX($D$3*J69,0.5*MAX(柱工程量计算!$E$3:$F$72)+5*J69),MAX($D$3*J69,0.4*$D$3*J69+15*J69))</f>
        <v>6945</v>
      </c>
      <c r="L69" s="50">
        <f t="shared" si="1"/>
        <v>13.883610600000003</v>
      </c>
      <c r="M69" s="189"/>
      <c r="N69" s="189"/>
      <c r="O69" s="189"/>
      <c r="P69" s="189"/>
      <c r="Q69" s="189"/>
    </row>
    <row r="70" spans="2:17" x14ac:dyDescent="0.15">
      <c r="B70" s="225"/>
      <c r="C70" s="222"/>
      <c r="D70" s="222"/>
      <c r="E70" s="222"/>
      <c r="F70" s="202"/>
      <c r="G70" s="202"/>
      <c r="H70" s="45" t="s">
        <v>108</v>
      </c>
      <c r="I70" s="45">
        <f>2*((IF($B$3="一级",MAX(2*F64,500),MAX(1.5*F64,500))-50)/100+1)+(G64-2*IF($B$3="一级",MAX(2*F64,500),MAX(1.5*F64,500)))/150-1</f>
        <v>45</v>
      </c>
      <c r="J70" s="45">
        <v>8</v>
      </c>
      <c r="K70" s="45">
        <f>(E64-2*$E$3+2*J70)*2+(F64-2*$E$3+2*J70)*2+2*1.9*J70+2*MAX(10*J70,75)</f>
        <v>1514.4</v>
      </c>
      <c r="L70" s="50">
        <f t="shared" si="1"/>
        <v>26.910282240000008</v>
      </c>
      <c r="M70" s="189"/>
      <c r="N70" s="189"/>
      <c r="O70" s="189"/>
      <c r="P70" s="189"/>
      <c r="Q70" s="189"/>
    </row>
    <row r="71" spans="2:17" x14ac:dyDescent="0.15">
      <c r="B71" s="225"/>
      <c r="C71" s="220" t="s">
        <v>124</v>
      </c>
      <c r="D71" s="218" t="s">
        <v>106</v>
      </c>
      <c r="E71" s="219"/>
      <c r="F71" s="218">
        <v>15300</v>
      </c>
      <c r="G71" s="219"/>
      <c r="H71" s="45" t="s">
        <v>103</v>
      </c>
      <c r="I71" s="45">
        <v>2</v>
      </c>
      <c r="J71" s="45">
        <v>20</v>
      </c>
      <c r="K71" s="47">
        <f>F71+2*IF((MAX(柱工程量计算!$E$3:$F$72)-$E$3)&gt;$D$3*J71,MAX($D$3*J71,0.5*MAX(柱工程量计算!$E$3:$F$72)+5*J71,MAX($D$3*J71,0.4*$D$3*J71+15*J71)))</f>
        <v>16350</v>
      </c>
      <c r="L71" s="50">
        <f t="shared" si="1"/>
        <v>80.703600000000009</v>
      </c>
      <c r="M71" s="189">
        <f>(2*F72+E72)*G72/10^6</f>
        <v>7.5</v>
      </c>
      <c r="N71" s="189">
        <f>PRODUCT(E72:G78)/10^9</f>
        <v>0.75</v>
      </c>
      <c r="O71" s="189">
        <f>SUM(L71:L78)</f>
        <v>239.86474724000001</v>
      </c>
      <c r="P71" s="189">
        <v>1</v>
      </c>
      <c r="Q71" s="189"/>
    </row>
    <row r="72" spans="2:17" x14ac:dyDescent="0.15">
      <c r="B72" s="225"/>
      <c r="C72" s="221"/>
      <c r="D72" s="220">
        <v>1</v>
      </c>
      <c r="E72" s="220">
        <v>250</v>
      </c>
      <c r="F72" s="203">
        <v>500</v>
      </c>
      <c r="G72" s="203">
        <v>6000</v>
      </c>
      <c r="H72" s="45" t="s">
        <v>95</v>
      </c>
      <c r="I72" s="45">
        <v>4</v>
      </c>
      <c r="J72" s="45">
        <v>20</v>
      </c>
      <c r="K72" s="47">
        <f>$G$7/3+MAX($D$3*J72,0.4*$D$3*J72+15*J72,MAX(柱工程量计算!$E$3:$F$72)-$E$3+15*J72)</f>
        <v>2870</v>
      </c>
      <c r="L72" s="50">
        <f t="shared" si="1"/>
        <v>28.332639999999998</v>
      </c>
      <c r="M72" s="189"/>
      <c r="N72" s="189"/>
      <c r="O72" s="189"/>
      <c r="P72" s="189"/>
      <c r="Q72" s="189"/>
    </row>
    <row r="73" spans="2:17" x14ac:dyDescent="0.15">
      <c r="B73" s="225"/>
      <c r="C73" s="221"/>
      <c r="D73" s="221"/>
      <c r="E73" s="221"/>
      <c r="F73" s="201"/>
      <c r="G73" s="201"/>
      <c r="H73" s="45" t="s">
        <v>97</v>
      </c>
      <c r="I73" s="45">
        <v>3</v>
      </c>
      <c r="J73" s="45">
        <v>20</v>
      </c>
      <c r="K73" s="47">
        <f>$G$7/4+MAX($D$3*J73,0.4*$D$3*J73+15*J73,MAX(柱工程量计算!$E$3:$F$72)-$E$3+15*J73)</f>
        <v>2370</v>
      </c>
      <c r="L73" s="50">
        <f t="shared" si="1"/>
        <v>17.54748</v>
      </c>
      <c r="M73" s="189"/>
      <c r="N73" s="189"/>
      <c r="O73" s="189"/>
      <c r="P73" s="189"/>
      <c r="Q73" s="189"/>
    </row>
    <row r="74" spans="2:17" x14ac:dyDescent="0.15">
      <c r="B74" s="225"/>
      <c r="C74" s="221"/>
      <c r="D74" s="221"/>
      <c r="E74" s="221"/>
      <c r="F74" s="201"/>
      <c r="G74" s="201"/>
      <c r="H74" s="45" t="s">
        <v>98</v>
      </c>
      <c r="I74" s="45">
        <v>4</v>
      </c>
      <c r="J74" s="45">
        <v>20</v>
      </c>
      <c r="K74" s="47">
        <f>$G$7/3+MAX($D$3*J74,0.4*$D$3*J74+15*J74,MAX(柱工程量计算!$E$3:$F$72)-$E$3+15*J74)</f>
        <v>2870</v>
      </c>
      <c r="L74" s="50">
        <f t="shared" si="1"/>
        <v>28.332639999999998</v>
      </c>
      <c r="M74" s="189"/>
      <c r="N74" s="189"/>
      <c r="O74" s="189"/>
      <c r="P74" s="189"/>
      <c r="Q74" s="189"/>
    </row>
    <row r="75" spans="2:17" x14ac:dyDescent="0.15">
      <c r="B75" s="225"/>
      <c r="C75" s="221"/>
      <c r="D75" s="221"/>
      <c r="E75" s="221"/>
      <c r="F75" s="201"/>
      <c r="G75" s="201"/>
      <c r="H75" s="45" t="s">
        <v>99</v>
      </c>
      <c r="I75" s="45">
        <v>2</v>
      </c>
      <c r="J75" s="45">
        <v>18</v>
      </c>
      <c r="K75" s="47">
        <f>$G$7/4+MAX($D$3*J75,0.4*$D$3*J75+15*J75,MAX(柱工程量计算!$E$3:$F$72)-$E$3+15*J75)</f>
        <v>2340</v>
      </c>
      <c r="L75" s="50">
        <f t="shared" si="1"/>
        <v>9.3556944000000009</v>
      </c>
      <c r="M75" s="189"/>
      <c r="N75" s="189"/>
      <c r="O75" s="189"/>
      <c r="P75" s="189"/>
      <c r="Q75" s="189"/>
    </row>
    <row r="76" spans="2:17" x14ac:dyDescent="0.15">
      <c r="B76" s="225"/>
      <c r="C76" s="221"/>
      <c r="D76" s="221"/>
      <c r="E76" s="221"/>
      <c r="F76" s="201"/>
      <c r="G76" s="201"/>
      <c r="H76" s="45" t="s">
        <v>121</v>
      </c>
      <c r="I76" s="45">
        <v>2</v>
      </c>
      <c r="J76" s="45">
        <v>20</v>
      </c>
      <c r="K76" s="47">
        <f>$G$7+2*IF((MAX(柱工程量计算!$E$3:$F$72)-$E$3)&gt;$D$3*J76,MAX($D$3*J76,0.5*MAX(柱工程量计算!$E$3:$F$72)+5*J76),MAX($D$3*J76,0.4*$D$3*J76+15*J76))</f>
        <v>7050</v>
      </c>
      <c r="L76" s="50">
        <f t="shared" si="1"/>
        <v>34.7988</v>
      </c>
      <c r="M76" s="189"/>
      <c r="N76" s="189"/>
      <c r="O76" s="189"/>
      <c r="P76" s="189"/>
      <c r="Q76" s="189"/>
    </row>
    <row r="77" spans="2:17" x14ac:dyDescent="0.15">
      <c r="B77" s="225"/>
      <c r="C77" s="221"/>
      <c r="D77" s="221"/>
      <c r="E77" s="221"/>
      <c r="F77" s="201"/>
      <c r="G77" s="201"/>
      <c r="H77" s="45" t="s">
        <v>120</v>
      </c>
      <c r="I77" s="45">
        <v>1</v>
      </c>
      <c r="J77" s="45">
        <v>18</v>
      </c>
      <c r="K77" s="47">
        <f>$G$7+2*IF((MAX(柱工程量计算!$E$3:$F$72)-$E$3)&gt;$D$3*J77,MAX($D$3*J77,0.5*MAX(柱工程量计算!$E$3:$F$72)+5*J77),MAX($D$3*J77,0.4*$D$3*J77+15*J77))</f>
        <v>6945</v>
      </c>
      <c r="L77" s="50">
        <f t="shared" si="1"/>
        <v>13.883610600000003</v>
      </c>
      <c r="M77" s="189"/>
      <c r="N77" s="189"/>
      <c r="O77" s="189"/>
      <c r="P77" s="189"/>
      <c r="Q77" s="189"/>
    </row>
    <row r="78" spans="2:17" x14ac:dyDescent="0.15">
      <c r="B78" s="225"/>
      <c r="C78" s="221"/>
      <c r="D78" s="222"/>
      <c r="E78" s="222"/>
      <c r="F78" s="202"/>
      <c r="G78" s="202"/>
      <c r="H78" s="45" t="s">
        <v>108</v>
      </c>
      <c r="I78" s="48">
        <f>2*((IF($B$3="一级",MAX(2*F72,500),MAX(1.5*F72,500))-50)/100+1)+(G72-2*IF($B$3="一级",MAX(2*F72,500),MAX(1.5*F72,500)))/150-1</f>
        <v>45</v>
      </c>
      <c r="J78" s="45">
        <v>8</v>
      </c>
      <c r="K78" s="45">
        <f>(E72-2*$E$3+2*J78)*2+(F72-2*$E$3+2*J78)*2+2*1.9*J78+2*MAX(10*J78,75)</f>
        <v>1514.4</v>
      </c>
      <c r="L78" s="50">
        <f t="shared" ref="L78:L141" si="2">I78*(J78/10)^2*0.617*K78/1000</f>
        <v>26.910282240000008</v>
      </c>
      <c r="M78" s="189"/>
      <c r="N78" s="189"/>
      <c r="O78" s="189"/>
      <c r="P78" s="189"/>
      <c r="Q78" s="189"/>
    </row>
    <row r="79" spans="2:17" x14ac:dyDescent="0.15">
      <c r="B79" s="225"/>
      <c r="C79" s="221"/>
      <c r="D79" s="220">
        <v>1</v>
      </c>
      <c r="E79" s="220">
        <v>300</v>
      </c>
      <c r="F79" s="203">
        <v>350</v>
      </c>
      <c r="G79" s="203">
        <v>2100</v>
      </c>
      <c r="H79" s="45" t="s">
        <v>105</v>
      </c>
      <c r="I79" s="45">
        <v>3</v>
      </c>
      <c r="J79" s="45">
        <v>25</v>
      </c>
      <c r="K79" s="47">
        <f>G79-G79/3*2+150*2</f>
        <v>1000</v>
      </c>
      <c r="L79" s="50">
        <f t="shared" si="2"/>
        <v>11.56875</v>
      </c>
      <c r="M79" s="189">
        <f>(2*F79+E79)*G79/10^6</f>
        <v>2.1</v>
      </c>
      <c r="N79" s="189">
        <f>PRODUCT(E79:G84)/10^9</f>
        <v>0.2205</v>
      </c>
      <c r="O79" s="189">
        <f>SUM(L79:L84)</f>
        <v>84.68355095082353</v>
      </c>
      <c r="P79" s="189">
        <v>1</v>
      </c>
      <c r="Q79" s="189"/>
    </row>
    <row r="80" spans="2:17" x14ac:dyDescent="0.15">
      <c r="B80" s="225"/>
      <c r="C80" s="221"/>
      <c r="D80" s="221"/>
      <c r="E80" s="221"/>
      <c r="F80" s="201"/>
      <c r="G80" s="201"/>
      <c r="H80" s="45" t="s">
        <v>95</v>
      </c>
      <c r="I80" s="45">
        <v>3</v>
      </c>
      <c r="J80" s="45">
        <v>25</v>
      </c>
      <c r="K80" s="47">
        <f>G79/3+MAX($D$3*J80,0.4*$D$3*J80+15*J80,MAX(柱工程量计算!$E$3:$F$72)-$E$3+15*J80)</f>
        <v>1645</v>
      </c>
      <c r="L80" s="50">
        <f t="shared" si="2"/>
        <v>19.030593750000001</v>
      </c>
      <c r="M80" s="189"/>
      <c r="N80" s="189"/>
      <c r="O80" s="189"/>
      <c r="P80" s="189"/>
      <c r="Q80" s="189"/>
    </row>
    <row r="81" spans="2:17" x14ac:dyDescent="0.15">
      <c r="B81" s="225"/>
      <c r="C81" s="221"/>
      <c r="D81" s="221"/>
      <c r="E81" s="221"/>
      <c r="F81" s="201"/>
      <c r="G81" s="201"/>
      <c r="H81" s="45" t="s">
        <v>98</v>
      </c>
      <c r="I81" s="45">
        <v>3</v>
      </c>
      <c r="J81" s="45">
        <v>25</v>
      </c>
      <c r="K81" s="47">
        <f>G79/3+MAX($D$3*J81,0.4*$D$3*J81+15*J81,MAX(柱工程量计算!$E$3:$F$72)-$E$3+15*J81)</f>
        <v>1645</v>
      </c>
      <c r="L81" s="50">
        <f t="shared" si="2"/>
        <v>19.030593750000001</v>
      </c>
      <c r="M81" s="189"/>
      <c r="N81" s="189"/>
      <c r="O81" s="189"/>
      <c r="P81" s="189"/>
      <c r="Q81" s="189"/>
    </row>
    <row r="82" spans="2:17" x14ac:dyDescent="0.15">
      <c r="B82" s="225"/>
      <c r="C82" s="221"/>
      <c r="D82" s="221"/>
      <c r="E82" s="221"/>
      <c r="F82" s="201"/>
      <c r="G82" s="201"/>
      <c r="H82" s="45" t="s">
        <v>116</v>
      </c>
      <c r="I82" s="45">
        <v>2</v>
      </c>
      <c r="J82" s="45">
        <v>22</v>
      </c>
      <c r="K82" s="47">
        <f>G79+2*IF((MAX(柱工程量计算!$E$3:$F$72)-$E$3)&gt;$D$3*J82,MAX($D$3*J82,0.5*MAX(柱工程量计算!$E$3:$F$72)+5*J82),MAX($D$3*J82,0.4*$D$3*J82+15*J82))</f>
        <v>3255</v>
      </c>
      <c r="L82" s="50">
        <f t="shared" si="2"/>
        <v>19.440682800000001</v>
      </c>
      <c r="M82" s="189"/>
      <c r="N82" s="189"/>
      <c r="O82" s="189"/>
      <c r="P82" s="189"/>
      <c r="Q82" s="189"/>
    </row>
    <row r="83" spans="2:17" x14ac:dyDescent="0.15">
      <c r="B83" s="225"/>
      <c r="C83" s="221"/>
      <c r="D83" s="221"/>
      <c r="E83" s="221"/>
      <c r="F83" s="201"/>
      <c r="G83" s="201"/>
      <c r="H83" s="45" t="s">
        <v>115</v>
      </c>
      <c r="I83" s="45">
        <v>1</v>
      </c>
      <c r="J83" s="45">
        <v>18</v>
      </c>
      <c r="K83" s="47">
        <f>G79+2*IF((MAX(柱工程量计算!$E$3:$F$72)-$E$3)&gt;$D$3*J83,MAX($D$3*J83,0.5*MAX(柱工程量计算!$E$3:$F$72)+5*J83),MAX($D$3*J83,0.4*$D$3*J83+15*J83))</f>
        <v>3045</v>
      </c>
      <c r="L83" s="50">
        <f t="shared" si="2"/>
        <v>6.0871986000000007</v>
      </c>
      <c r="M83" s="189"/>
      <c r="N83" s="189"/>
      <c r="O83" s="189"/>
      <c r="P83" s="189"/>
      <c r="Q83" s="189"/>
    </row>
    <row r="84" spans="2:17" x14ac:dyDescent="0.15">
      <c r="B84" s="225"/>
      <c r="C84" s="221"/>
      <c r="D84" s="222"/>
      <c r="E84" s="222"/>
      <c r="F84" s="202"/>
      <c r="G84" s="202"/>
      <c r="H84" s="45" t="s">
        <v>108</v>
      </c>
      <c r="I84" s="45">
        <f>2*((IF($B$3="一级",MAX(2*F79,500),MAX(1.5*F79,500))-50)/85+1)+(G79-2*IF($B$3="一级",MAX(2*F79,500),MAX(1.5*F79,500)))/170-1</f>
        <v>18.352941176470587</v>
      </c>
      <c r="J84" s="45">
        <v>8</v>
      </c>
      <c r="K84" s="45">
        <f>(E79-2*$E$3+2*J84)*2+(F79-2*$E$3+2*J84)*2+2*1.9*J84+2*MAX(10*J84,75)</f>
        <v>1314.4</v>
      </c>
      <c r="L84" s="50">
        <f t="shared" si="2"/>
        <v>9.5257320508235317</v>
      </c>
      <c r="M84" s="189"/>
      <c r="N84" s="189"/>
      <c r="O84" s="189"/>
      <c r="P84" s="189"/>
      <c r="Q84" s="189"/>
    </row>
    <row r="85" spans="2:17" x14ac:dyDescent="0.15">
      <c r="B85" s="225"/>
      <c r="C85" s="221"/>
      <c r="D85" s="220">
        <v>1</v>
      </c>
      <c r="E85" s="220">
        <v>250</v>
      </c>
      <c r="F85" s="203">
        <v>500</v>
      </c>
      <c r="G85" s="203">
        <v>6000</v>
      </c>
      <c r="H85" s="45" t="s">
        <v>112</v>
      </c>
      <c r="I85" s="45">
        <v>4</v>
      </c>
      <c r="J85" s="45">
        <v>20</v>
      </c>
      <c r="K85" s="47">
        <f>G85/3+MAX($D$3*J85,0.4*$D$3*J85+15*J85,MAX(柱工程量计算!$E$3:$F$72)-$E$3+15*J85)</f>
        <v>2870</v>
      </c>
      <c r="L85" s="50">
        <f t="shared" si="2"/>
        <v>28.332639999999998</v>
      </c>
      <c r="M85" s="189">
        <f>(2*F85+E85)*G85/10^6</f>
        <v>7.5</v>
      </c>
      <c r="N85" s="189">
        <f>PRODUCT(E85:G91)/10^9</f>
        <v>0.75</v>
      </c>
      <c r="O85" s="189">
        <f>SUM(L85:L91)</f>
        <v>157.64628884000001</v>
      </c>
      <c r="P85" s="189">
        <v>1</v>
      </c>
      <c r="Q85" s="189"/>
    </row>
    <row r="86" spans="2:17" x14ac:dyDescent="0.15">
      <c r="B86" s="225"/>
      <c r="C86" s="221"/>
      <c r="D86" s="221"/>
      <c r="E86" s="221"/>
      <c r="F86" s="201"/>
      <c r="G86" s="201"/>
      <c r="H86" s="45" t="s">
        <v>122</v>
      </c>
      <c r="I86" s="45">
        <v>2</v>
      </c>
      <c r="J86" s="45">
        <v>18</v>
      </c>
      <c r="K86" s="47">
        <f>G85/3+MAX($D$3*J86,0.4*$D$3*J86+15*J86,MAX(柱工程量计算!$E$3:$F$72)-$E$3+15*J86)</f>
        <v>2840</v>
      </c>
      <c r="L86" s="50">
        <f t="shared" si="2"/>
        <v>11.3547744</v>
      </c>
      <c r="M86" s="189"/>
      <c r="N86" s="189"/>
      <c r="O86" s="189"/>
      <c r="P86" s="189"/>
      <c r="Q86" s="189"/>
    </row>
    <row r="87" spans="2:17" x14ac:dyDescent="0.15">
      <c r="B87" s="225"/>
      <c r="C87" s="221"/>
      <c r="D87" s="221"/>
      <c r="E87" s="221"/>
      <c r="F87" s="201"/>
      <c r="G87" s="201"/>
      <c r="H87" s="45" t="s">
        <v>117</v>
      </c>
      <c r="I87" s="45">
        <v>4</v>
      </c>
      <c r="J87" s="45">
        <v>20</v>
      </c>
      <c r="K87" s="47">
        <f>G85/3+MAX($D$3*J87,0.4*$D$3*J87+15*J87,MAX(柱工程量计算!$E$3:$F$72)-$E$3+15*J87)</f>
        <v>2870</v>
      </c>
      <c r="L87" s="50">
        <f t="shared" si="2"/>
        <v>28.332639999999998</v>
      </c>
      <c r="M87" s="189"/>
      <c r="N87" s="189"/>
      <c r="O87" s="189"/>
      <c r="P87" s="189"/>
      <c r="Q87" s="189"/>
    </row>
    <row r="88" spans="2:17" x14ac:dyDescent="0.15">
      <c r="B88" s="225"/>
      <c r="C88" s="221"/>
      <c r="D88" s="221"/>
      <c r="E88" s="221"/>
      <c r="F88" s="201"/>
      <c r="G88" s="201"/>
      <c r="H88" s="45" t="s">
        <v>118</v>
      </c>
      <c r="I88" s="45">
        <v>3</v>
      </c>
      <c r="J88" s="45">
        <v>18</v>
      </c>
      <c r="K88" s="47">
        <f>G85/4+MAX($D$3*J88,0.4*$D$3*J88+15*J88,MAX(柱工程量计算!$E$3:$F$72)-$E$3+15*J88)</f>
        <v>2340</v>
      </c>
      <c r="L88" s="50">
        <f t="shared" si="2"/>
        <v>14.033541600000001</v>
      </c>
      <c r="M88" s="189"/>
      <c r="N88" s="189"/>
      <c r="O88" s="189"/>
      <c r="P88" s="189"/>
      <c r="Q88" s="189"/>
    </row>
    <row r="89" spans="2:17" x14ac:dyDescent="0.15">
      <c r="B89" s="225"/>
      <c r="C89" s="221"/>
      <c r="D89" s="221"/>
      <c r="E89" s="221"/>
      <c r="F89" s="201"/>
      <c r="G89" s="201"/>
      <c r="H89" s="45" t="s">
        <v>115</v>
      </c>
      <c r="I89" s="45">
        <v>2</v>
      </c>
      <c r="J89" s="45">
        <v>20</v>
      </c>
      <c r="K89" s="47">
        <f>G85+2*IF((MAX(柱工程量计算!$E$3:$F$72)-$E$3)&gt;$D$3*J89,MAX($D$3*J89,0.5*MAX(柱工程量计算!$E$3:$F$72)+5*J89),MAX($D$3*J89,0.4*$D$3*J89+15*J89))</f>
        <v>7050</v>
      </c>
      <c r="L89" s="50">
        <f t="shared" si="2"/>
        <v>34.7988</v>
      </c>
      <c r="M89" s="189"/>
      <c r="N89" s="189"/>
      <c r="O89" s="189"/>
      <c r="P89" s="189"/>
      <c r="Q89" s="189"/>
    </row>
    <row r="90" spans="2:17" x14ac:dyDescent="0.15">
      <c r="B90" s="225"/>
      <c r="C90" s="221"/>
      <c r="D90" s="221"/>
      <c r="E90" s="221"/>
      <c r="F90" s="201"/>
      <c r="G90" s="201"/>
      <c r="H90" s="45" t="s">
        <v>116</v>
      </c>
      <c r="I90" s="45">
        <v>1</v>
      </c>
      <c r="J90" s="45">
        <v>18</v>
      </c>
      <c r="K90" s="47">
        <f>G85+2*IF((MAX(柱工程量计算!$E$3:$F$72)-$E$3)&gt;$D$3*J90,MAX($D$3*J90,0.5*MAX(柱工程量计算!$E$3:$F$72)+5*J90),MAX($D$3*J90,0.4*$D$3*J90+15*J90))</f>
        <v>6945</v>
      </c>
      <c r="L90" s="50">
        <f t="shared" si="2"/>
        <v>13.883610600000003</v>
      </c>
      <c r="M90" s="189"/>
      <c r="N90" s="189"/>
      <c r="O90" s="189"/>
      <c r="P90" s="189"/>
      <c r="Q90" s="189"/>
    </row>
    <row r="91" spans="2:17" x14ac:dyDescent="0.15">
      <c r="B91" s="225"/>
      <c r="C91" s="221"/>
      <c r="D91" s="221"/>
      <c r="E91" s="221"/>
      <c r="F91" s="201"/>
      <c r="G91" s="201"/>
      <c r="H91" s="48" t="s">
        <v>108</v>
      </c>
      <c r="I91" s="48">
        <f>2*((IF($B$3="一级",MAX(2*F85,500),MAX(1.5*F85,500))-50)/100+1)+(G85-2*IF($B$3="一级",MAX(2*F85,500),MAX(1.5*F85,500)))/150-1</f>
        <v>45</v>
      </c>
      <c r="J91" s="48">
        <v>8</v>
      </c>
      <c r="K91" s="48">
        <f>(E85-2*$E$3+2*J91)*2+(F85-2*$E$3+2*J91)*2+2*1.9*J91+2*MAX(10*J91,75)</f>
        <v>1514.4</v>
      </c>
      <c r="L91" s="50">
        <f t="shared" si="2"/>
        <v>26.910282240000008</v>
      </c>
      <c r="M91" s="189"/>
      <c r="N91" s="189"/>
      <c r="O91" s="189"/>
      <c r="P91" s="189"/>
      <c r="Q91" s="189"/>
    </row>
    <row r="92" spans="2:17" x14ac:dyDescent="0.15">
      <c r="B92" s="225"/>
      <c r="C92" s="220" t="s">
        <v>125</v>
      </c>
      <c r="D92" s="218" t="s">
        <v>106</v>
      </c>
      <c r="E92" s="219"/>
      <c r="F92" s="218">
        <v>15300</v>
      </c>
      <c r="G92" s="219"/>
      <c r="H92" s="45" t="s">
        <v>103</v>
      </c>
      <c r="I92" s="45">
        <v>2</v>
      </c>
      <c r="J92" s="45">
        <v>20</v>
      </c>
      <c r="K92" s="47">
        <f>F92+2*IF((MAX(柱工程量计算!$E$3:$F$72)-$E$3)&gt;$D$3*J92,MAX($D$3*J92,0.5*MAX(柱工程量计算!$E$3:$F$72)+5*J92,MAX($D$3*J92,0.4*$D$3*J92+15*J92)))</f>
        <v>16350</v>
      </c>
      <c r="L92" s="50">
        <f t="shared" si="2"/>
        <v>80.703600000000009</v>
      </c>
      <c r="M92" s="189">
        <f>(2*F93+E93)*G93/10^6</f>
        <v>7.5</v>
      </c>
      <c r="N92" s="189">
        <f>PRODUCT(E93:G99)/10^9</f>
        <v>0.75</v>
      </c>
      <c r="O92" s="189">
        <f>SUM(L92:L99)</f>
        <v>243.68480010023529</v>
      </c>
      <c r="P92" s="189"/>
      <c r="Q92" s="189">
        <v>1</v>
      </c>
    </row>
    <row r="93" spans="2:17" x14ac:dyDescent="0.15">
      <c r="B93" s="225"/>
      <c r="C93" s="221"/>
      <c r="D93" s="220">
        <v>1</v>
      </c>
      <c r="E93" s="220">
        <v>250</v>
      </c>
      <c r="F93" s="203">
        <v>500</v>
      </c>
      <c r="G93" s="203">
        <v>6000</v>
      </c>
      <c r="H93" s="45" t="s">
        <v>95</v>
      </c>
      <c r="I93" s="45">
        <v>4</v>
      </c>
      <c r="J93" s="45">
        <v>20</v>
      </c>
      <c r="K93" s="47">
        <f>$G$7/3+MAX($D$3*J93,0.4*$D$3*J93+15*J93,MAX(柱工程量计算!$E$3:$F$72)-$E$3+15*J93)</f>
        <v>2870</v>
      </c>
      <c r="L93" s="50">
        <f t="shared" si="2"/>
        <v>28.332639999999998</v>
      </c>
      <c r="M93" s="189"/>
      <c r="N93" s="189"/>
      <c r="O93" s="189"/>
      <c r="P93" s="189"/>
      <c r="Q93" s="189"/>
    </row>
    <row r="94" spans="2:17" x14ac:dyDescent="0.15">
      <c r="B94" s="225"/>
      <c r="C94" s="221"/>
      <c r="D94" s="221"/>
      <c r="E94" s="221"/>
      <c r="F94" s="201"/>
      <c r="G94" s="201"/>
      <c r="H94" s="45" t="s">
        <v>97</v>
      </c>
      <c r="I94" s="45">
        <v>3</v>
      </c>
      <c r="J94" s="45">
        <v>20</v>
      </c>
      <c r="K94" s="47">
        <f>$G$7/4+MAX($D$3*J94,0.4*$D$3*J94+15*J94,MAX(柱工程量计算!$E$3:$F$72)-$E$3+15*J94)</f>
        <v>2370</v>
      </c>
      <c r="L94" s="50">
        <f t="shared" si="2"/>
        <v>17.54748</v>
      </c>
      <c r="M94" s="189"/>
      <c r="N94" s="189"/>
      <c r="O94" s="189"/>
      <c r="P94" s="189"/>
      <c r="Q94" s="189"/>
    </row>
    <row r="95" spans="2:17" x14ac:dyDescent="0.15">
      <c r="B95" s="225"/>
      <c r="C95" s="221"/>
      <c r="D95" s="221"/>
      <c r="E95" s="221"/>
      <c r="F95" s="201"/>
      <c r="G95" s="201"/>
      <c r="H95" s="45" t="s">
        <v>98</v>
      </c>
      <c r="I95" s="45">
        <v>4</v>
      </c>
      <c r="J95" s="45">
        <v>20</v>
      </c>
      <c r="K95" s="47">
        <f>$G$7/3+MAX($D$3*J95,0.4*$D$3*J95+15*J95,MAX(柱工程量计算!$E$3:$F$72)-$E$3+15*J95)</f>
        <v>2870</v>
      </c>
      <c r="L95" s="50">
        <f t="shared" si="2"/>
        <v>28.332639999999998</v>
      </c>
      <c r="M95" s="189"/>
      <c r="N95" s="189"/>
      <c r="O95" s="189"/>
      <c r="P95" s="189"/>
      <c r="Q95" s="189"/>
    </row>
    <row r="96" spans="2:17" x14ac:dyDescent="0.15">
      <c r="B96" s="225"/>
      <c r="C96" s="221"/>
      <c r="D96" s="221"/>
      <c r="E96" s="221"/>
      <c r="F96" s="201"/>
      <c r="G96" s="201"/>
      <c r="H96" s="45" t="s">
        <v>99</v>
      </c>
      <c r="I96" s="45">
        <v>2</v>
      </c>
      <c r="J96" s="45">
        <v>20</v>
      </c>
      <c r="K96" s="47">
        <f>$G$7/4+MAX($D$3*J96,0.4*$D$3*J96+15*J96,MAX(柱工程量计算!$E$3:$F$72)-$E$3+15*J96)</f>
        <v>2370</v>
      </c>
      <c r="L96" s="50">
        <f t="shared" si="2"/>
        <v>11.698319999999999</v>
      </c>
      <c r="M96" s="189"/>
      <c r="N96" s="189"/>
      <c r="O96" s="189"/>
      <c r="P96" s="189"/>
      <c r="Q96" s="189"/>
    </row>
    <row r="97" spans="1:17" s="46" customFormat="1" x14ac:dyDescent="0.15">
      <c r="A97" s="195"/>
      <c r="B97" s="225"/>
      <c r="C97" s="221"/>
      <c r="D97" s="221"/>
      <c r="E97" s="221"/>
      <c r="F97" s="201"/>
      <c r="G97" s="201"/>
      <c r="H97" s="45" t="s">
        <v>121</v>
      </c>
      <c r="I97" s="45">
        <v>2</v>
      </c>
      <c r="J97" s="45">
        <v>20</v>
      </c>
      <c r="K97" s="47">
        <f>$G$93+2*IF((MAX(柱工程量计算!$E$3:$F$72)-$E$3)&gt;$D$3*J97,MAX($D$3*J97,0.5*MAX(柱工程量计算!$E$3:$F$72)+5*J97),MAX($D$3*J97,0.4*$D$3*J97+15*J97))</f>
        <v>7050</v>
      </c>
      <c r="L97" s="50">
        <f t="shared" si="2"/>
        <v>34.7988</v>
      </c>
      <c r="M97" s="189"/>
      <c r="N97" s="189"/>
      <c r="O97" s="189"/>
      <c r="P97" s="189"/>
      <c r="Q97" s="189"/>
    </row>
    <row r="98" spans="1:17" x14ac:dyDescent="0.15">
      <c r="B98" s="225"/>
      <c r="C98" s="221"/>
      <c r="D98" s="221"/>
      <c r="E98" s="221"/>
      <c r="F98" s="201"/>
      <c r="G98" s="201"/>
      <c r="H98" s="45" t="s">
        <v>120</v>
      </c>
      <c r="I98" s="45">
        <v>1</v>
      </c>
      <c r="J98" s="45">
        <v>18</v>
      </c>
      <c r="K98" s="47">
        <f>$G$7+2*IF((MAX(柱工程量计算!$E$3:$F$72)-$E$3)&gt;$D$3*J98,MAX($D$3*J98,0.5*MAX(柱工程量计算!$E$3:$F$72)+5*J98),MAX($D$3*J98,0.4*$D$3*J98+15*J98))</f>
        <v>6945</v>
      </c>
      <c r="L98" s="50">
        <f t="shared" si="2"/>
        <v>13.883610600000003</v>
      </c>
      <c r="M98" s="189"/>
      <c r="N98" s="189"/>
      <c r="O98" s="189"/>
      <c r="P98" s="189"/>
      <c r="Q98" s="189"/>
    </row>
    <row r="99" spans="1:17" x14ac:dyDescent="0.15">
      <c r="B99" s="225"/>
      <c r="C99" s="221"/>
      <c r="D99" s="222"/>
      <c r="E99" s="222"/>
      <c r="F99" s="202"/>
      <c r="G99" s="202"/>
      <c r="H99" s="45" t="s">
        <v>108</v>
      </c>
      <c r="I99" s="45">
        <f>2*((IF($B$3="一级",MAX(2*F104,500),MAX(1.5*F104,500))-50)/85+1)+(G104-2*IF($B$3="一级",MAX(2*F104,500),MAX(1.5*F104,500)))/150-1</f>
        <v>47.470588235294116</v>
      </c>
      <c r="J99" s="45">
        <v>8</v>
      </c>
      <c r="K99" s="45">
        <f>(E93-2*$E$3+2*J99)*2+(F93-2*$E$3+2*J99)*2+2*1.9*J99+2*MAX(10*J99,75)</f>
        <v>1514.4</v>
      </c>
      <c r="L99" s="50">
        <f t="shared" si="2"/>
        <v>28.387709500235303</v>
      </c>
      <c r="M99" s="189"/>
      <c r="N99" s="189"/>
      <c r="O99" s="189"/>
      <c r="P99" s="189"/>
      <c r="Q99" s="189"/>
    </row>
    <row r="100" spans="1:17" x14ac:dyDescent="0.15">
      <c r="B100" s="225"/>
      <c r="C100" s="221"/>
      <c r="D100" s="220">
        <v>1</v>
      </c>
      <c r="E100" s="220">
        <v>300</v>
      </c>
      <c r="F100" s="203">
        <v>350</v>
      </c>
      <c r="G100" s="203">
        <v>2100</v>
      </c>
      <c r="H100" s="45" t="s">
        <v>105</v>
      </c>
      <c r="I100" s="45">
        <v>4</v>
      </c>
      <c r="J100" s="45">
        <v>22</v>
      </c>
      <c r="K100" s="47">
        <f>G100-G100/3*2+150*2</f>
        <v>1000</v>
      </c>
      <c r="L100" s="50">
        <f t="shared" si="2"/>
        <v>11.945120000000001</v>
      </c>
      <c r="M100" s="189">
        <f>(2*F100+E100)*G100/10^6</f>
        <v>2.1</v>
      </c>
      <c r="N100" s="189">
        <f>PRODUCT(E100:G103)/10^9</f>
        <v>0.2205</v>
      </c>
      <c r="O100" s="189">
        <f>SUM(L100:L103)</f>
        <v>81.266304000000005</v>
      </c>
      <c r="P100" s="189"/>
      <c r="Q100" s="189">
        <v>1</v>
      </c>
    </row>
    <row r="101" spans="1:17" x14ac:dyDescent="0.15">
      <c r="B101" s="225"/>
      <c r="C101" s="221"/>
      <c r="D101" s="221"/>
      <c r="E101" s="221"/>
      <c r="F101" s="201"/>
      <c r="G101" s="201"/>
      <c r="H101" s="45" t="s">
        <v>95</v>
      </c>
      <c r="I101" s="45">
        <v>4</v>
      </c>
      <c r="J101" s="45">
        <v>22</v>
      </c>
      <c r="K101" s="47">
        <f>G100/3+MAX($D$3*J101,0.4*$D$3*J101+15*J101,MAX(柱工程量计算!$E$3:$F$72)-$E$3+15*J101)</f>
        <v>1600</v>
      </c>
      <c r="L101" s="50">
        <f t="shared" si="2"/>
        <v>19.112192000000004</v>
      </c>
      <c r="M101" s="189"/>
      <c r="N101" s="189"/>
      <c r="O101" s="189"/>
      <c r="P101" s="189"/>
      <c r="Q101" s="189"/>
    </row>
    <row r="102" spans="1:17" x14ac:dyDescent="0.15">
      <c r="B102" s="225"/>
      <c r="C102" s="221"/>
      <c r="D102" s="221"/>
      <c r="E102" s="221"/>
      <c r="F102" s="201"/>
      <c r="G102" s="201"/>
      <c r="H102" s="45" t="s">
        <v>98</v>
      </c>
      <c r="I102" s="45">
        <v>4</v>
      </c>
      <c r="J102" s="45">
        <v>22</v>
      </c>
      <c r="K102" s="47">
        <f>G100/3+MAX($D$3*J102,0.4*$D$3*J102+15*J102,MAX(柱工程量计算!$E$3:$F$72)-$E$3+15*J102)</f>
        <v>1600</v>
      </c>
      <c r="L102" s="50">
        <f t="shared" si="2"/>
        <v>19.112192000000004</v>
      </c>
      <c r="M102" s="189"/>
      <c r="N102" s="189"/>
      <c r="O102" s="189"/>
      <c r="P102" s="189"/>
      <c r="Q102" s="189"/>
    </row>
    <row r="103" spans="1:17" x14ac:dyDescent="0.15">
      <c r="B103" s="225"/>
      <c r="C103" s="221"/>
      <c r="D103" s="221"/>
      <c r="E103" s="221"/>
      <c r="F103" s="201"/>
      <c r="G103" s="201"/>
      <c r="H103" s="45" t="s">
        <v>101</v>
      </c>
      <c r="I103" s="45">
        <v>4</v>
      </c>
      <c r="J103" s="45">
        <v>20</v>
      </c>
      <c r="K103" s="47">
        <f>G100+2*IF((MAX(柱工程量计算!$E$3:$F$72)-$E$3)&gt;$D$3*J103,MAX($D$3*J103,0.5*MAX(柱工程量计算!$E$3:$F$72)+5*J103),MAX($D$3*J103,0.4*$D$3*J103+15*J103))</f>
        <v>3150</v>
      </c>
      <c r="L103" s="50">
        <f t="shared" si="2"/>
        <v>31.096799999999998</v>
      </c>
      <c r="M103" s="189"/>
      <c r="N103" s="189"/>
      <c r="O103" s="189"/>
      <c r="P103" s="189"/>
      <c r="Q103" s="189"/>
    </row>
    <row r="104" spans="1:17" x14ac:dyDescent="0.15">
      <c r="B104" s="225"/>
      <c r="C104" s="221"/>
      <c r="D104" s="209">
        <v>1</v>
      </c>
      <c r="E104" s="209">
        <v>250</v>
      </c>
      <c r="F104" s="189">
        <v>500</v>
      </c>
      <c r="G104" s="189">
        <v>6000</v>
      </c>
      <c r="H104" s="45" t="s">
        <v>109</v>
      </c>
      <c r="I104" s="45">
        <v>2</v>
      </c>
      <c r="J104" s="45">
        <v>18</v>
      </c>
      <c r="K104" s="47">
        <f>G104-G104/3*2+150*2</f>
        <v>2300</v>
      </c>
      <c r="L104" s="50">
        <f t="shared" si="2"/>
        <v>9.1957679999999993</v>
      </c>
      <c r="M104" s="189">
        <f>(2*F104+E104)*G104/10^6</f>
        <v>7.5</v>
      </c>
      <c r="N104" s="189">
        <f>PRODUCT(E104:G109)/10^9</f>
        <v>0.75</v>
      </c>
      <c r="O104" s="189">
        <f>SUM(L104:L109)</f>
        <v>148.23477670023533</v>
      </c>
      <c r="P104" s="189"/>
      <c r="Q104" s="189">
        <v>1</v>
      </c>
    </row>
    <row r="105" spans="1:17" x14ac:dyDescent="0.15">
      <c r="B105" s="225"/>
      <c r="C105" s="221"/>
      <c r="D105" s="209"/>
      <c r="E105" s="209"/>
      <c r="F105" s="189"/>
      <c r="G105" s="189"/>
      <c r="H105" s="45" t="s">
        <v>112</v>
      </c>
      <c r="I105" s="45">
        <v>4</v>
      </c>
      <c r="J105" s="45">
        <v>18</v>
      </c>
      <c r="K105" s="47">
        <f>G104/3+MAX($D$3*J105,0.4*$D$3*J105+15*J105,MAX(柱工程量计算!$E$3:$F$72)-$E$3+15*J105)</f>
        <v>2840</v>
      </c>
      <c r="L105" s="50">
        <f t="shared" si="2"/>
        <v>22.7095488</v>
      </c>
      <c r="M105" s="189"/>
      <c r="N105" s="189"/>
      <c r="O105" s="189"/>
      <c r="P105" s="189"/>
      <c r="Q105" s="189"/>
    </row>
    <row r="106" spans="1:17" x14ac:dyDescent="0.15">
      <c r="B106" s="225"/>
      <c r="C106" s="221"/>
      <c r="D106" s="209"/>
      <c r="E106" s="209"/>
      <c r="F106" s="189"/>
      <c r="G106" s="189"/>
      <c r="H106" s="45" t="s">
        <v>117</v>
      </c>
      <c r="I106" s="45">
        <v>3</v>
      </c>
      <c r="J106" s="45">
        <v>18</v>
      </c>
      <c r="K106" s="47">
        <f>G104/3+MAX($D$3*J106,0.4*$D$3*J106+15*J106,MAX(柱工程量计算!$E$3:$F$72)-$E$3+15*J106)</f>
        <v>2840</v>
      </c>
      <c r="L106" s="50">
        <f t="shared" si="2"/>
        <v>17.032161600000002</v>
      </c>
      <c r="M106" s="189"/>
      <c r="N106" s="189"/>
      <c r="O106" s="189"/>
      <c r="P106" s="189"/>
      <c r="Q106" s="189"/>
    </row>
    <row r="107" spans="1:17" x14ac:dyDescent="0.15">
      <c r="B107" s="225"/>
      <c r="C107" s="221"/>
      <c r="D107" s="209"/>
      <c r="E107" s="209"/>
      <c r="F107" s="189"/>
      <c r="G107" s="189"/>
      <c r="H107" s="45" t="s">
        <v>118</v>
      </c>
      <c r="I107" s="45">
        <v>4</v>
      </c>
      <c r="J107" s="45">
        <v>18</v>
      </c>
      <c r="K107" s="47">
        <f>G104/4+MAX($D$3*J107,0.4*$D$3*J107+15*J107,MAX(柱工程量计算!$E$3:$F$72)-$E$3+15*J107)</f>
        <v>2340</v>
      </c>
      <c r="L107" s="50">
        <f t="shared" si="2"/>
        <v>18.711388800000002</v>
      </c>
      <c r="M107" s="189"/>
      <c r="N107" s="189"/>
      <c r="O107" s="189"/>
      <c r="P107" s="189"/>
      <c r="Q107" s="189"/>
    </row>
    <row r="108" spans="1:17" x14ac:dyDescent="0.15">
      <c r="B108" s="225"/>
      <c r="C108" s="221"/>
      <c r="D108" s="209"/>
      <c r="E108" s="209"/>
      <c r="F108" s="189"/>
      <c r="G108" s="189"/>
      <c r="H108" s="45" t="s">
        <v>116</v>
      </c>
      <c r="I108" s="45">
        <v>3</v>
      </c>
      <c r="J108" s="45">
        <v>20</v>
      </c>
      <c r="K108" s="47">
        <f>G104+2*IF((MAX(柱工程量计算!$E$3:$F$72)-$E$3)&gt;$D$3*J108,MAX($D$3*J108,0.5*MAX(柱工程量计算!$E$3:$F$72)+5*J108),MAX($D$3*J108,0.4*$D$3*J108+15*J108))</f>
        <v>7050</v>
      </c>
      <c r="L108" s="50">
        <f t="shared" si="2"/>
        <v>52.1982</v>
      </c>
      <c r="M108" s="189"/>
      <c r="N108" s="189"/>
      <c r="O108" s="189"/>
      <c r="P108" s="189"/>
      <c r="Q108" s="189"/>
    </row>
    <row r="109" spans="1:17" x14ac:dyDescent="0.15">
      <c r="B109" s="225"/>
      <c r="C109" s="222"/>
      <c r="D109" s="209"/>
      <c r="E109" s="209"/>
      <c r="F109" s="189"/>
      <c r="G109" s="189"/>
      <c r="H109" s="45" t="s">
        <v>108</v>
      </c>
      <c r="I109" s="45">
        <f>2*((IF($B$3="一级",MAX(2*F104,500),MAX(1.5*F104,500))-50)/85+1)+(G104-2*IF($B$3="一级",MAX(2*F104,500),MAX(1.5*F104,500)))/150-1</f>
        <v>47.470588235294116</v>
      </c>
      <c r="J109" s="45">
        <v>8</v>
      </c>
      <c r="K109" s="45">
        <f>(E104-2*$E$3+2*J109)*2+(F104-2*$E$3+2*J109)*2+2*1.9*J109+2*MAX(10*J109,75)</f>
        <v>1514.4</v>
      </c>
      <c r="L109" s="50">
        <f t="shared" si="2"/>
        <v>28.387709500235303</v>
      </c>
      <c r="M109" s="189"/>
      <c r="N109" s="189"/>
      <c r="O109" s="189"/>
      <c r="P109" s="189"/>
      <c r="Q109" s="189"/>
    </row>
    <row r="110" spans="1:17" x14ac:dyDescent="0.15">
      <c r="B110" s="225"/>
      <c r="C110" s="220" t="s">
        <v>127</v>
      </c>
      <c r="D110" s="218" t="s">
        <v>106</v>
      </c>
      <c r="E110" s="219"/>
      <c r="F110" s="218">
        <v>15300</v>
      </c>
      <c r="G110" s="219"/>
      <c r="H110" s="45" t="s">
        <v>103</v>
      </c>
      <c r="I110" s="45">
        <v>2</v>
      </c>
      <c r="J110" s="45">
        <v>22</v>
      </c>
      <c r="K110" s="47">
        <f>F110+2*IF((MAX(柱工程量计算!$E$3:$F$72)-$E$3)&gt;$D$3*J110,MAX($D$3*J110,0.5*MAX(柱工程量计算!$E$3:$F$72)+5*J110,MAX($D$3*J110,0.4*$D$3*J110+15*J110)))</f>
        <v>15300</v>
      </c>
      <c r="L110" s="50">
        <f t="shared" si="2"/>
        <v>91.380168000000012</v>
      </c>
      <c r="M110" s="189">
        <f>(2*F111+E111)*G111/10^6</f>
        <v>7.5</v>
      </c>
      <c r="N110" s="189">
        <f>PRODUCT(E111:G116)/10^9</f>
        <v>0.75</v>
      </c>
      <c r="O110" s="189">
        <f>SUM(L110:L116)</f>
        <v>272.72666084000008</v>
      </c>
      <c r="P110" s="189"/>
      <c r="Q110" s="189">
        <v>1</v>
      </c>
    </row>
    <row r="111" spans="1:17" x14ac:dyDescent="0.15">
      <c r="B111" s="225"/>
      <c r="C111" s="221"/>
      <c r="D111" s="220">
        <v>1</v>
      </c>
      <c r="E111" s="220">
        <v>250</v>
      </c>
      <c r="F111" s="203">
        <v>500</v>
      </c>
      <c r="G111" s="203">
        <v>6000</v>
      </c>
      <c r="H111" s="45" t="s">
        <v>95</v>
      </c>
      <c r="I111" s="45">
        <v>4</v>
      </c>
      <c r="J111" s="45">
        <v>22</v>
      </c>
      <c r="K111" s="47">
        <f>$G$7/3+MAX($D$3*J111,0.4*$D$3*J111+15*J111,MAX(柱工程量计算!$E$3:$F$72)-$E$3+15*J111)</f>
        <v>2900</v>
      </c>
      <c r="L111" s="50">
        <f t="shared" si="2"/>
        <v>34.640848000000005</v>
      </c>
      <c r="M111" s="189"/>
      <c r="N111" s="189"/>
      <c r="O111" s="189"/>
      <c r="P111" s="189"/>
      <c r="Q111" s="189"/>
    </row>
    <row r="112" spans="1:17" x14ac:dyDescent="0.15">
      <c r="B112" s="225"/>
      <c r="C112" s="221"/>
      <c r="D112" s="221"/>
      <c r="E112" s="221"/>
      <c r="F112" s="201"/>
      <c r="G112" s="201"/>
      <c r="H112" s="45" t="s">
        <v>97</v>
      </c>
      <c r="I112" s="45">
        <v>2</v>
      </c>
      <c r="J112" s="45">
        <v>20</v>
      </c>
      <c r="K112" s="47">
        <f>$G$7/4+MAX($D$3*J112,0.4*$D$3*J112+15*J112,MAX(柱工程量计算!$E$3:$F$72)-$E$3+15*J112)</f>
        <v>2370</v>
      </c>
      <c r="L112" s="50">
        <f t="shared" si="2"/>
        <v>11.698319999999999</v>
      </c>
      <c r="M112" s="189"/>
      <c r="N112" s="189"/>
      <c r="O112" s="189"/>
      <c r="P112" s="189"/>
      <c r="Q112" s="189"/>
    </row>
    <row r="113" spans="1:17" x14ac:dyDescent="0.15">
      <c r="B113" s="225"/>
      <c r="C113" s="221"/>
      <c r="D113" s="221"/>
      <c r="E113" s="221"/>
      <c r="F113" s="201"/>
      <c r="G113" s="201"/>
      <c r="H113" s="45" t="s">
        <v>98</v>
      </c>
      <c r="I113" s="45">
        <v>4</v>
      </c>
      <c r="J113" s="45">
        <v>22</v>
      </c>
      <c r="K113" s="47">
        <f>$G$7/3+MAX($D$3*J113,0.4*$D$3*J113+15*J113,MAX(柱工程量计算!$E$3:$F$72)-$E$3+15*J113)</f>
        <v>2900</v>
      </c>
      <c r="L113" s="50">
        <f t="shared" si="2"/>
        <v>34.640848000000005</v>
      </c>
      <c r="M113" s="189"/>
      <c r="N113" s="189"/>
      <c r="O113" s="189"/>
      <c r="P113" s="189"/>
      <c r="Q113" s="189"/>
    </row>
    <row r="114" spans="1:17" x14ac:dyDescent="0.15">
      <c r="B114" s="225"/>
      <c r="C114" s="221"/>
      <c r="D114" s="221"/>
      <c r="E114" s="221"/>
      <c r="F114" s="201"/>
      <c r="G114" s="201"/>
      <c r="H114" s="45" t="s">
        <v>99</v>
      </c>
      <c r="I114" s="45">
        <v>2</v>
      </c>
      <c r="J114" s="45">
        <v>18</v>
      </c>
      <c r="K114" s="47">
        <f>$G$7/4+MAX($D$3*J114,0.4*$D$3*J114+15*J114,MAX(柱工程量计算!$E$3:$F$72)-$E$3+15*J114)</f>
        <v>2340</v>
      </c>
      <c r="L114" s="50">
        <f t="shared" si="2"/>
        <v>9.3556944000000009</v>
      </c>
      <c r="M114" s="189"/>
      <c r="N114" s="189"/>
      <c r="O114" s="189"/>
      <c r="P114" s="189"/>
      <c r="Q114" s="189"/>
    </row>
    <row r="115" spans="1:17" x14ac:dyDescent="0.15">
      <c r="B115" s="225"/>
      <c r="C115" s="221"/>
      <c r="D115" s="221"/>
      <c r="E115" s="221"/>
      <c r="F115" s="201"/>
      <c r="G115" s="201"/>
      <c r="H115" s="45" t="s">
        <v>121</v>
      </c>
      <c r="I115" s="45">
        <v>3</v>
      </c>
      <c r="J115" s="45">
        <v>22</v>
      </c>
      <c r="K115" s="47">
        <f>$G$93+2*IF((MAX(柱工程量计算!$E$3:$F$72)-$E$3)&gt;$D$3*J115,MAX($D$3*J115,0.5*MAX(柱工程量计算!$E$3:$F$72)+5*J115),MAX($D$3*J115,0.4*$D$3*J115+15*J115))</f>
        <v>7155</v>
      </c>
      <c r="L115" s="50">
        <f t="shared" si="2"/>
        <v>64.100500200000013</v>
      </c>
      <c r="M115" s="189"/>
      <c r="N115" s="189"/>
      <c r="O115" s="189"/>
      <c r="P115" s="189"/>
      <c r="Q115" s="189"/>
    </row>
    <row r="116" spans="1:17" x14ac:dyDescent="0.15">
      <c r="B116" s="225"/>
      <c r="C116" s="221"/>
      <c r="D116" s="222"/>
      <c r="E116" s="222"/>
      <c r="F116" s="202"/>
      <c r="G116" s="202"/>
      <c r="H116" s="45" t="s">
        <v>108</v>
      </c>
      <c r="I116" s="45">
        <f>2*((IF($B$3="一级",MAX(2*F122,500),MAX(1.5*F122,500))-50)/100+1)+(G122-2*IF($B$3="一级",MAX(2*F122,500),MAX(1.5*F122,500)))/150-1</f>
        <v>45</v>
      </c>
      <c r="J116" s="45">
        <v>8</v>
      </c>
      <c r="K116" s="45">
        <f>(E111-2*$E$3+2*J116)*2+(F111-2*$E$3+2*J116)*2+2*1.9*J116+2*MAX(10*J116,75)</f>
        <v>1514.4</v>
      </c>
      <c r="L116" s="50">
        <f t="shared" si="2"/>
        <v>26.910282240000008</v>
      </c>
      <c r="M116" s="189"/>
      <c r="N116" s="189"/>
      <c r="O116" s="189"/>
      <c r="P116" s="189"/>
      <c r="Q116" s="189"/>
    </row>
    <row r="117" spans="1:17" x14ac:dyDescent="0.15">
      <c r="B117" s="225"/>
      <c r="C117" s="221"/>
      <c r="D117" s="220">
        <v>1</v>
      </c>
      <c r="E117" s="220">
        <v>300</v>
      </c>
      <c r="F117" s="203">
        <v>350</v>
      </c>
      <c r="G117" s="203">
        <v>2100</v>
      </c>
      <c r="H117" s="45" t="s">
        <v>105</v>
      </c>
      <c r="I117" s="45">
        <v>4</v>
      </c>
      <c r="J117" s="45">
        <v>25</v>
      </c>
      <c r="K117" s="47">
        <f>G117-G117/3*2+150*2</f>
        <v>1000</v>
      </c>
      <c r="L117" s="50">
        <f t="shared" si="2"/>
        <v>15.425000000000001</v>
      </c>
      <c r="M117" s="189">
        <f>(2*F117+E117)*G117/10^6</f>
        <v>2.1</v>
      </c>
      <c r="N117" s="189">
        <f>PRODUCT(E117:G121)/10^9</f>
        <v>0.2205</v>
      </c>
      <c r="O117" s="189">
        <f>SUM(L117:L121)</f>
        <v>88.619956799999997</v>
      </c>
      <c r="P117" s="189"/>
      <c r="Q117" s="189">
        <v>1</v>
      </c>
    </row>
    <row r="118" spans="1:17" x14ac:dyDescent="0.15">
      <c r="B118" s="225"/>
      <c r="C118" s="221"/>
      <c r="D118" s="221"/>
      <c r="E118" s="221"/>
      <c r="F118" s="201"/>
      <c r="G118" s="201"/>
      <c r="H118" s="45" t="s">
        <v>95</v>
      </c>
      <c r="I118" s="45">
        <v>4</v>
      </c>
      <c r="J118" s="45">
        <v>25</v>
      </c>
      <c r="K118" s="47">
        <f>G117/3+MAX($D$3*J118,0.4*$D$3*J118+15*J118,MAX(柱工程量计算!$E$3:$F$72)-$E$3+15*J118)</f>
        <v>1645</v>
      </c>
      <c r="L118" s="50">
        <f t="shared" si="2"/>
        <v>25.374124999999999</v>
      </c>
      <c r="M118" s="189"/>
      <c r="N118" s="189"/>
      <c r="O118" s="189"/>
      <c r="P118" s="189"/>
      <c r="Q118" s="189"/>
    </row>
    <row r="119" spans="1:17" x14ac:dyDescent="0.15">
      <c r="B119" s="225"/>
      <c r="C119" s="221"/>
      <c r="D119" s="221"/>
      <c r="E119" s="221"/>
      <c r="F119" s="201"/>
      <c r="G119" s="201"/>
      <c r="H119" s="45" t="s">
        <v>98</v>
      </c>
      <c r="I119" s="45">
        <v>4</v>
      </c>
      <c r="J119" s="45">
        <v>25</v>
      </c>
      <c r="K119" s="47">
        <f>G117/3+MAX($D$3*J119,0.4*$D$3*J119+15*J119,MAX(柱工程量计算!$E$3:$F$72)-$E$3+15*J119)</f>
        <v>1645</v>
      </c>
      <c r="L119" s="50">
        <f t="shared" si="2"/>
        <v>25.374124999999999</v>
      </c>
      <c r="M119" s="189"/>
      <c r="N119" s="189"/>
      <c r="O119" s="189"/>
      <c r="P119" s="189"/>
      <c r="Q119" s="189"/>
    </row>
    <row r="120" spans="1:17" s="46" customFormat="1" x14ac:dyDescent="0.15">
      <c r="A120" s="195"/>
      <c r="B120" s="225"/>
      <c r="C120" s="221"/>
      <c r="D120" s="221"/>
      <c r="E120" s="221"/>
      <c r="F120" s="201"/>
      <c r="G120" s="201"/>
      <c r="H120" s="45" t="s">
        <v>116</v>
      </c>
      <c r="I120" s="45">
        <v>2</v>
      </c>
      <c r="J120" s="45">
        <v>22</v>
      </c>
      <c r="K120" s="47">
        <f>G116+2*IF((MAX(柱工程量计算!$E$3:$F$72)-$E$3)&gt;$D$3*J120,MAX($D$3*J120,0.5*MAX(柱工程量计算!$E$3:$F$72)+5*J120),MAX($D$3*J120,0.4*$D$3*J120+15*J120))</f>
        <v>1155</v>
      </c>
      <c r="L120" s="50">
        <f t="shared" si="2"/>
        <v>6.8983068000000003</v>
      </c>
      <c r="M120" s="189"/>
      <c r="N120" s="189"/>
      <c r="O120" s="189"/>
      <c r="P120" s="189"/>
      <c r="Q120" s="189"/>
    </row>
    <row r="121" spans="1:17" x14ac:dyDescent="0.15">
      <c r="B121" s="225"/>
      <c r="C121" s="221"/>
      <c r="D121" s="221"/>
      <c r="E121" s="221"/>
      <c r="F121" s="201"/>
      <c r="G121" s="201"/>
      <c r="H121" s="45" t="s">
        <v>115</v>
      </c>
      <c r="I121" s="45">
        <v>2</v>
      </c>
      <c r="J121" s="45">
        <v>20</v>
      </c>
      <c r="K121" s="47">
        <f>G117+2*IF((MAX(柱工程量计算!$E$3:$F$72)-$E$3)&gt;$D$3*J121,MAX($D$3*J121,0.5*MAX(柱工程量计算!$E$3:$F$72)+5*J121),MAX($D$3*J121,0.4*$D$3*J121+15*J121))</f>
        <v>3150</v>
      </c>
      <c r="L121" s="50">
        <f t="shared" si="2"/>
        <v>15.548399999999999</v>
      </c>
      <c r="M121" s="189"/>
      <c r="N121" s="189"/>
      <c r="O121" s="189"/>
      <c r="P121" s="189"/>
      <c r="Q121" s="189"/>
    </row>
    <row r="122" spans="1:17" x14ac:dyDescent="0.15">
      <c r="B122" s="225"/>
      <c r="C122" s="221"/>
      <c r="D122" s="209">
        <v>1</v>
      </c>
      <c r="E122" s="209">
        <v>250</v>
      </c>
      <c r="F122" s="189">
        <v>500</v>
      </c>
      <c r="G122" s="189">
        <v>6000</v>
      </c>
      <c r="H122" s="45" t="s">
        <v>112</v>
      </c>
      <c r="I122" s="45">
        <v>4</v>
      </c>
      <c r="J122" s="45">
        <v>22</v>
      </c>
      <c r="K122" s="47">
        <f>G122/3+MAX($D$3*J122,0.4*$D$3*J122+15*J122,MAX(柱工程量计算!$E$3:$F$72)-$E$3+15*J122)</f>
        <v>2900</v>
      </c>
      <c r="L122" s="50">
        <f t="shared" si="2"/>
        <v>34.640848000000005</v>
      </c>
      <c r="M122" s="189">
        <f>(2*F122+E122)*G122/10^6</f>
        <v>7.5</v>
      </c>
      <c r="N122" s="189">
        <f>PRODUCT(E122:G129)/10^9</f>
        <v>0.75</v>
      </c>
      <c r="O122" s="189">
        <f>SUM(L122:L129)</f>
        <v>240.19040601000003</v>
      </c>
      <c r="P122" s="189"/>
      <c r="Q122" s="189">
        <v>1</v>
      </c>
    </row>
    <row r="123" spans="1:17" x14ac:dyDescent="0.15">
      <c r="B123" s="225"/>
      <c r="C123" s="221"/>
      <c r="D123" s="209"/>
      <c r="E123" s="209"/>
      <c r="F123" s="189"/>
      <c r="G123" s="189"/>
      <c r="H123" s="45" t="s">
        <v>117</v>
      </c>
      <c r="I123" s="45">
        <v>2</v>
      </c>
      <c r="J123" s="45">
        <v>20</v>
      </c>
      <c r="K123" s="47">
        <f>G122/3+MAX($D$3*J123,0.4*$D$3*J123+15*J123,MAX(柱工程量计算!$E$3:$F$72)-$E$3+15*J123)</f>
        <v>2870</v>
      </c>
      <c r="L123" s="50">
        <f t="shared" si="2"/>
        <v>14.166319999999999</v>
      </c>
      <c r="M123" s="189"/>
      <c r="N123" s="189"/>
      <c r="O123" s="189"/>
      <c r="P123" s="189"/>
      <c r="Q123" s="189"/>
    </row>
    <row r="124" spans="1:17" x14ac:dyDescent="0.15">
      <c r="B124" s="225"/>
      <c r="C124" s="221"/>
      <c r="D124" s="209"/>
      <c r="E124" s="209"/>
      <c r="F124" s="189"/>
      <c r="G124" s="189"/>
      <c r="H124" s="45" t="s">
        <v>118</v>
      </c>
      <c r="I124" s="45">
        <v>4</v>
      </c>
      <c r="J124" s="45">
        <v>22</v>
      </c>
      <c r="K124" s="47">
        <f>G122/4+MAX($D$3*J124,0.4*$D$3*J124+15*J124,MAX(柱工程量计算!$E$3:$F$72)-$E$3+15*J124)</f>
        <v>2400</v>
      </c>
      <c r="L124" s="50">
        <f t="shared" si="2"/>
        <v>28.668288000000004</v>
      </c>
      <c r="M124" s="189"/>
      <c r="N124" s="189"/>
      <c r="O124" s="189"/>
      <c r="P124" s="189"/>
      <c r="Q124" s="189"/>
    </row>
    <row r="125" spans="1:17" x14ac:dyDescent="0.15">
      <c r="B125" s="225"/>
      <c r="C125" s="221"/>
      <c r="D125" s="209"/>
      <c r="E125" s="209"/>
      <c r="F125" s="189"/>
      <c r="G125" s="189"/>
      <c r="H125" s="45" t="s">
        <v>100</v>
      </c>
      <c r="I125" s="45">
        <v>3</v>
      </c>
      <c r="J125" s="45">
        <v>20</v>
      </c>
      <c r="K125" s="47">
        <f>IF(F122&gt;=450,G122+2*IF((MAX(柱工程量计算!$E$3:$F$72)-$E$3)&gt;$D$3*J125,MAX($D$3*J125,0.5*MAX(柱工程量计算!$E$3:$F$72)+5*J125),MAX($D$3*J125,0.4*$D$3*J125+15*J125)),G122+15*J125)</f>
        <v>7050</v>
      </c>
      <c r="L125" s="50">
        <f t="shared" si="2"/>
        <v>52.1982</v>
      </c>
      <c r="M125" s="189"/>
      <c r="N125" s="189"/>
      <c r="O125" s="189"/>
      <c r="P125" s="189"/>
      <c r="Q125" s="189"/>
    </row>
    <row r="126" spans="1:17" x14ac:dyDescent="0.15">
      <c r="B126" s="225"/>
      <c r="C126" s="221"/>
      <c r="D126" s="209"/>
      <c r="E126" s="209"/>
      <c r="F126" s="189"/>
      <c r="G126" s="189"/>
      <c r="H126" s="45" t="s">
        <v>116</v>
      </c>
      <c r="I126" s="45">
        <v>2</v>
      </c>
      <c r="J126" s="45">
        <v>25</v>
      </c>
      <c r="K126" s="47">
        <f>G122+2*IF((MAX(柱工程量计算!$E$3:$F$72)-$E$3)&gt;$D$3*J126,MAX($D$3*J126,0.5*MAX(柱工程量计算!$E$3:$F$72)+5*J126),MAX($D$3*J126,0.4*$D$3*J126+15*J126))</f>
        <v>7312.5</v>
      </c>
      <c r="L126" s="50">
        <f t="shared" si="2"/>
        <v>56.397656249999997</v>
      </c>
      <c r="M126" s="189"/>
      <c r="N126" s="189"/>
      <c r="O126" s="189"/>
      <c r="P126" s="189"/>
      <c r="Q126" s="189"/>
    </row>
    <row r="127" spans="1:17" s="46" customFormat="1" x14ac:dyDescent="0.15">
      <c r="A127" s="195"/>
      <c r="B127" s="225"/>
      <c r="C127" s="221"/>
      <c r="D127" s="209"/>
      <c r="E127" s="209"/>
      <c r="F127" s="189"/>
      <c r="G127" s="189"/>
      <c r="H127" s="45" t="s">
        <v>100</v>
      </c>
      <c r="I127" s="45">
        <v>4</v>
      </c>
      <c r="J127" s="45">
        <v>12</v>
      </c>
      <c r="K127" s="47">
        <f>IF(F122&gt;=450,G122+2*IF((MAX(柱工程量计算!$E$3:$F$72)-$E$3)&gt;$D$3*J127,MAX($D$3*J127,0.5*MAX(柱工程量计算!$E$3:$F$72)+5*J127),MAX($D$3*J127,0.4*$D$3*J127+15*J127)),G122+15*J127)</f>
        <v>6720</v>
      </c>
      <c r="L127" s="50">
        <f t="shared" si="2"/>
        <v>23.882342399999999</v>
      </c>
      <c r="M127" s="189"/>
      <c r="N127" s="189"/>
      <c r="O127" s="189"/>
      <c r="P127" s="189"/>
      <c r="Q127" s="189"/>
    </row>
    <row r="128" spans="1:17" x14ac:dyDescent="0.15">
      <c r="B128" s="225"/>
      <c r="C128" s="221"/>
      <c r="D128" s="209"/>
      <c r="E128" s="209"/>
      <c r="F128" s="189"/>
      <c r="G128" s="189"/>
      <c r="H128" s="45" t="s">
        <v>107</v>
      </c>
      <c r="I128" s="45">
        <f>((G122-50*2)/200*2+1)*$I$6/2</f>
        <v>120</v>
      </c>
      <c r="J128" s="45">
        <f>IF(E120&lt;=350,6,8)</f>
        <v>6</v>
      </c>
      <c r="K128" s="47">
        <f>E120-2*$E$3+2*1.9*J128+2*MAX(10*J128,75)+2*J128</f>
        <v>124.8</v>
      </c>
      <c r="L128" s="50">
        <f t="shared" si="2"/>
        <v>3.3264691199999992</v>
      </c>
      <c r="M128" s="189"/>
      <c r="N128" s="189"/>
      <c r="O128" s="189"/>
      <c r="P128" s="189"/>
      <c r="Q128" s="189"/>
    </row>
    <row r="129" spans="2:17" x14ac:dyDescent="0.15">
      <c r="B129" s="225"/>
      <c r="C129" s="222"/>
      <c r="D129" s="209"/>
      <c r="E129" s="209"/>
      <c r="F129" s="189"/>
      <c r="G129" s="189"/>
      <c r="H129" s="45" t="s">
        <v>108</v>
      </c>
      <c r="I129" s="45">
        <f>2*((IF($B$3="一级",MAX(2*F122,500),MAX(1.5*F122,500))-50)/100+1)+(G122-2*IF($B$3="一级",MAX(2*F122,500),MAX(1.5*F122,500)))/150-1</f>
        <v>45</v>
      </c>
      <c r="J129" s="45">
        <v>8</v>
      </c>
      <c r="K129" s="45">
        <f>(E122-2*$E$3+2*J129)*2+(F122-2*$E$3+2*J129)*2+2*1.9*J129+2*MAX(10*J129,75)</f>
        <v>1514.4</v>
      </c>
      <c r="L129" s="50">
        <f t="shared" si="2"/>
        <v>26.910282240000008</v>
      </c>
      <c r="M129" s="189"/>
      <c r="N129" s="189"/>
      <c r="O129" s="189"/>
      <c r="P129" s="189"/>
      <c r="Q129" s="189"/>
    </row>
    <row r="130" spans="2:17" x14ac:dyDescent="0.15">
      <c r="B130" s="225"/>
      <c r="C130" s="220" t="s">
        <v>128</v>
      </c>
      <c r="D130" s="218" t="s">
        <v>106</v>
      </c>
      <c r="E130" s="219"/>
      <c r="F130" s="218">
        <v>15300</v>
      </c>
      <c r="G130" s="219"/>
      <c r="H130" s="45" t="s">
        <v>103</v>
      </c>
      <c r="I130" s="45">
        <v>2</v>
      </c>
      <c r="J130" s="45">
        <v>18</v>
      </c>
      <c r="K130" s="47">
        <f>F130+2*IF((MAX(柱工程量计算!$E$3:$F$72)-$E$3)&gt;$D$3*J130,MAX($D$3*J130,0.5*MAX(柱工程量计算!$E$3:$F$72)+5*J130,MAX($D$3*J130,0.4*$D$3*J130+15*J130)))</f>
        <v>16245</v>
      </c>
      <c r="L130" s="50">
        <f t="shared" si="2"/>
        <v>64.9501092</v>
      </c>
      <c r="M130" s="189">
        <f>(2*F132+E132)*G132/10^6</f>
        <v>7.5</v>
      </c>
      <c r="N130" s="189">
        <f>PRODUCT(E132:G138)/10^9</f>
        <v>0.75</v>
      </c>
      <c r="O130" s="189">
        <f>SUM(L130:L138)</f>
        <v>268.67798784847059</v>
      </c>
      <c r="P130" s="189"/>
      <c r="Q130" s="189">
        <v>1</v>
      </c>
    </row>
    <row r="131" spans="2:17" x14ac:dyDescent="0.15">
      <c r="B131" s="225"/>
      <c r="C131" s="221"/>
      <c r="D131" s="223"/>
      <c r="E131" s="224"/>
      <c r="F131" s="223"/>
      <c r="G131" s="224"/>
      <c r="H131" s="45" t="s">
        <v>100</v>
      </c>
      <c r="I131" s="45">
        <v>4</v>
      </c>
      <c r="J131" s="45">
        <v>12</v>
      </c>
      <c r="K131" s="47">
        <f>IF($F$7&gt;=450,$F$5+2*IF((MAX(柱工程量计算!$E$3:$F$72)-$E$3)&gt;$D$3*J131,MAX($D$3*J131,0.5*MAX(柱工程量计算!$E$3:$F$72)+5*J131),MAX($D$3*J131,0.4*$D$3*J131+15*J131)),$F$5+15*J131)</f>
        <v>16020</v>
      </c>
      <c r="L131" s="50">
        <f t="shared" si="2"/>
        <v>56.933798399999993</v>
      </c>
      <c r="M131" s="189"/>
      <c r="N131" s="189"/>
      <c r="O131" s="189"/>
      <c r="P131" s="189"/>
      <c r="Q131" s="189"/>
    </row>
    <row r="132" spans="2:17" x14ac:dyDescent="0.15">
      <c r="B132" s="225"/>
      <c r="C132" s="221"/>
      <c r="D132" s="220">
        <v>1</v>
      </c>
      <c r="E132" s="220">
        <v>250</v>
      </c>
      <c r="F132" s="203">
        <v>500</v>
      </c>
      <c r="G132" s="203">
        <v>6000</v>
      </c>
      <c r="H132" s="45" t="s">
        <v>95</v>
      </c>
      <c r="I132" s="45">
        <v>4</v>
      </c>
      <c r="J132" s="45">
        <v>18</v>
      </c>
      <c r="K132" s="47">
        <f>$G$7/3+MAX($D$3*J132,0.4*$D$3*J132+15*J132,MAX(柱工程量计算!$E$3:$F$72)-$E$3+15*J132)</f>
        <v>2840</v>
      </c>
      <c r="L132" s="50">
        <f t="shared" si="2"/>
        <v>22.7095488</v>
      </c>
      <c r="M132" s="189"/>
      <c r="N132" s="189"/>
      <c r="O132" s="189"/>
      <c r="P132" s="189"/>
      <c r="Q132" s="189"/>
    </row>
    <row r="133" spans="2:17" x14ac:dyDescent="0.15">
      <c r="B133" s="225"/>
      <c r="C133" s="221"/>
      <c r="D133" s="221"/>
      <c r="E133" s="221"/>
      <c r="F133" s="201"/>
      <c r="G133" s="201"/>
      <c r="H133" s="45" t="s">
        <v>97</v>
      </c>
      <c r="I133" s="45">
        <v>3</v>
      </c>
      <c r="J133" s="45">
        <v>16</v>
      </c>
      <c r="K133" s="47">
        <f>$G$7/4+MAX($D$3*J133,0.4*$D$3*J133+15*J133,MAX(柱工程量计算!$E$3:$F$72)-$E$3+15*J133)</f>
        <v>2310</v>
      </c>
      <c r="L133" s="50">
        <f t="shared" si="2"/>
        <v>10.946073600000002</v>
      </c>
      <c r="M133" s="189"/>
      <c r="N133" s="189"/>
      <c r="O133" s="189"/>
      <c r="P133" s="189"/>
      <c r="Q133" s="189"/>
    </row>
    <row r="134" spans="2:17" x14ac:dyDescent="0.15">
      <c r="B134" s="225"/>
      <c r="C134" s="221"/>
      <c r="D134" s="221"/>
      <c r="E134" s="221"/>
      <c r="F134" s="201"/>
      <c r="G134" s="201"/>
      <c r="H134" s="45" t="s">
        <v>98</v>
      </c>
      <c r="I134" s="45">
        <v>4</v>
      </c>
      <c r="J134" s="45">
        <v>18</v>
      </c>
      <c r="K134" s="47">
        <f>$G$7/3+MAX($D$3*J134,0.4*$D$3*J134+15*J134,MAX(柱工程量计算!$E$3:$F$72)-$E$3+15*J134)</f>
        <v>2840</v>
      </c>
      <c r="L134" s="50">
        <f t="shared" si="2"/>
        <v>22.7095488</v>
      </c>
      <c r="M134" s="189"/>
      <c r="N134" s="189"/>
      <c r="O134" s="189"/>
      <c r="P134" s="189"/>
      <c r="Q134" s="189"/>
    </row>
    <row r="135" spans="2:17" x14ac:dyDescent="0.15">
      <c r="B135" s="225"/>
      <c r="C135" s="221"/>
      <c r="D135" s="221"/>
      <c r="E135" s="221"/>
      <c r="F135" s="201"/>
      <c r="G135" s="201"/>
      <c r="H135" s="45" t="s">
        <v>99</v>
      </c>
      <c r="I135" s="45">
        <v>3</v>
      </c>
      <c r="J135" s="45">
        <v>16</v>
      </c>
      <c r="K135" s="47">
        <f>$G$7/4+MAX($D$3*J135,0.4*$D$3*J135+15*J135,MAX(柱工程量计算!$E$3:$F$72)-$E$3+15*J135)</f>
        <v>2310</v>
      </c>
      <c r="L135" s="50">
        <f t="shared" si="2"/>
        <v>10.946073600000002</v>
      </c>
      <c r="M135" s="189"/>
      <c r="N135" s="189"/>
      <c r="O135" s="189"/>
      <c r="P135" s="189"/>
      <c r="Q135" s="189"/>
    </row>
    <row r="136" spans="2:17" x14ac:dyDescent="0.15">
      <c r="B136" s="225"/>
      <c r="C136" s="221"/>
      <c r="D136" s="221"/>
      <c r="E136" s="221"/>
      <c r="F136" s="201"/>
      <c r="G136" s="201"/>
      <c r="H136" s="45" t="s">
        <v>104</v>
      </c>
      <c r="I136" s="45">
        <v>4</v>
      </c>
      <c r="J136" s="45">
        <v>16</v>
      </c>
      <c r="K136" s="47">
        <f>$G$7+2*IF((MAX(柱工程量计算!$E$3:$F$72)-$E$3)&gt;$D$3*J136,MAX($D$3*J136,0.5*MAX(柱工程量计算!$E$3:$F$72)+5*J136),MAX($D$3*J136,0.4*$D$3*J136+15*J136))</f>
        <v>6840</v>
      </c>
      <c r="L136" s="50">
        <f t="shared" si="2"/>
        <v>43.215667200000006</v>
      </c>
      <c r="M136" s="189"/>
      <c r="N136" s="189"/>
      <c r="O136" s="189"/>
      <c r="P136" s="189"/>
      <c r="Q136" s="189"/>
    </row>
    <row r="137" spans="2:17" x14ac:dyDescent="0.15">
      <c r="B137" s="225"/>
      <c r="C137" s="221"/>
      <c r="D137" s="221"/>
      <c r="E137" s="221"/>
      <c r="F137" s="201"/>
      <c r="G137" s="201"/>
      <c r="H137" s="45" t="s">
        <v>107</v>
      </c>
      <c r="I137" s="45">
        <f>((G132-50*2)/200*2+1)*$I$6/2</f>
        <v>120</v>
      </c>
      <c r="J137" s="45">
        <f>IF(E132&lt;=350,6,8)</f>
        <v>6</v>
      </c>
      <c r="K137" s="47">
        <f>E132-2*$E$3+2*1.9*J137+2*MAX(10*J137,75)+2*J137</f>
        <v>374.8</v>
      </c>
      <c r="L137" s="50">
        <f t="shared" si="2"/>
        <v>9.9900691199999976</v>
      </c>
      <c r="M137" s="189"/>
      <c r="N137" s="189"/>
      <c r="O137" s="189"/>
      <c r="P137" s="189"/>
      <c r="Q137" s="189"/>
    </row>
    <row r="138" spans="2:17" x14ac:dyDescent="0.15">
      <c r="B138" s="225"/>
      <c r="C138" s="221"/>
      <c r="D138" s="222"/>
      <c r="E138" s="222"/>
      <c r="F138" s="202"/>
      <c r="G138" s="202"/>
      <c r="H138" s="45" t="s">
        <v>108</v>
      </c>
      <c r="I138" s="45">
        <f>2*((IF(B128="一级",MAX(2*F132,500),MAX(1.5*F132,500))-50)/85+1)+(G132-2*IF(B128="一级",MAX(2*F132,500),MAX(1.5*F132,500)))/170-1</f>
        <v>43.941176470588232</v>
      </c>
      <c r="J138" s="45">
        <v>8</v>
      </c>
      <c r="K138" s="45">
        <f>(E132-2*$E$3+2*J138)*2+(F132-2*$E$3+2*J138)*2+2*1.9*J138+2*MAX(10*J138,75)</f>
        <v>1514.4</v>
      </c>
      <c r="L138" s="50">
        <f t="shared" si="2"/>
        <v>26.277099128470592</v>
      </c>
      <c r="M138" s="189"/>
      <c r="N138" s="189"/>
      <c r="O138" s="189"/>
      <c r="P138" s="189"/>
      <c r="Q138" s="189"/>
    </row>
    <row r="139" spans="2:17" x14ac:dyDescent="0.15">
      <c r="B139" s="225"/>
      <c r="C139" s="221"/>
      <c r="D139" s="220">
        <v>1</v>
      </c>
      <c r="E139" s="220">
        <v>300</v>
      </c>
      <c r="F139" s="203">
        <v>350</v>
      </c>
      <c r="G139" s="203">
        <v>2100</v>
      </c>
      <c r="H139" s="45" t="s">
        <v>105</v>
      </c>
      <c r="I139" s="45">
        <v>4</v>
      </c>
      <c r="J139" s="45">
        <v>20</v>
      </c>
      <c r="K139" s="47">
        <f>G139-G139/3*2+150*2</f>
        <v>1000</v>
      </c>
      <c r="L139" s="50">
        <f t="shared" si="2"/>
        <v>9.8719999999999999</v>
      </c>
      <c r="M139" s="189">
        <f>(2*F139+E139)*G139/10^6</f>
        <v>2.1</v>
      </c>
      <c r="N139" s="189">
        <f>PRODUCT(E139:G144)/10^9</f>
        <v>0.2205</v>
      </c>
      <c r="O139" s="189">
        <f>SUM(L139:L144)</f>
        <v>77.68138824282353</v>
      </c>
      <c r="P139" s="189"/>
      <c r="Q139" s="189">
        <v>1</v>
      </c>
    </row>
    <row r="140" spans="2:17" x14ac:dyDescent="0.15">
      <c r="B140" s="225"/>
      <c r="C140" s="221"/>
      <c r="D140" s="221"/>
      <c r="E140" s="221"/>
      <c r="F140" s="201"/>
      <c r="G140" s="201"/>
      <c r="H140" s="45" t="s">
        <v>95</v>
      </c>
      <c r="I140" s="45">
        <v>4</v>
      </c>
      <c r="J140" s="45">
        <v>20</v>
      </c>
      <c r="K140" s="47">
        <f>G139/3+MAX($D$3*J140,0.4*$D$3*J140+15*J140,MAX(柱工程量计算!$E$3:$F$72)-$E$3+15*J140)</f>
        <v>1570</v>
      </c>
      <c r="L140" s="50">
        <f t="shared" si="2"/>
        <v>15.499039999999999</v>
      </c>
      <c r="M140" s="189"/>
      <c r="N140" s="189"/>
      <c r="O140" s="189"/>
      <c r="P140" s="189"/>
      <c r="Q140" s="189"/>
    </row>
    <row r="141" spans="2:17" x14ac:dyDescent="0.15">
      <c r="B141" s="225"/>
      <c r="C141" s="221"/>
      <c r="D141" s="221"/>
      <c r="E141" s="221"/>
      <c r="F141" s="201"/>
      <c r="G141" s="201"/>
      <c r="H141" s="45" t="s">
        <v>98</v>
      </c>
      <c r="I141" s="45">
        <v>4</v>
      </c>
      <c r="J141" s="45">
        <v>20</v>
      </c>
      <c r="K141" s="47">
        <f>G139/3+MAX($D$3*J141,0.4*$D$3*J141+15*J141,MAX(柱工程量计算!$E$3:$F$72)-$E$3+15*J141)</f>
        <v>1570</v>
      </c>
      <c r="L141" s="50">
        <f t="shared" si="2"/>
        <v>15.499039999999999</v>
      </c>
      <c r="M141" s="189"/>
      <c r="N141" s="189"/>
      <c r="O141" s="189"/>
      <c r="P141" s="189"/>
      <c r="Q141" s="189"/>
    </row>
    <row r="142" spans="2:17" x14ac:dyDescent="0.15">
      <c r="B142" s="225"/>
      <c r="C142" s="221"/>
      <c r="D142" s="221"/>
      <c r="E142" s="221"/>
      <c r="F142" s="201"/>
      <c r="G142" s="201"/>
      <c r="H142" s="45" t="s">
        <v>101</v>
      </c>
      <c r="I142" s="45">
        <v>3</v>
      </c>
      <c r="J142" s="45">
        <v>20</v>
      </c>
      <c r="K142" s="47">
        <f>G139+2*IF((MAX(柱工程量计算!$E$3:$F$72)-$E$3)&gt;$D$3*J142,MAX($D$3*J142,0.5*MAX(柱工程量计算!$E$3:$F$72)+5*J142),MAX($D$3*J142,0.4*$D$3*J142+15*J142))</f>
        <v>3150</v>
      </c>
      <c r="L142" s="50">
        <f t="shared" ref="L142:L205" si="3">I142*(J142/10)^2*0.617*K142/1000</f>
        <v>23.322599999999998</v>
      </c>
      <c r="M142" s="189"/>
      <c r="N142" s="189"/>
      <c r="O142" s="189"/>
      <c r="P142" s="189"/>
      <c r="Q142" s="189"/>
    </row>
    <row r="143" spans="2:17" x14ac:dyDescent="0.15">
      <c r="B143" s="225"/>
      <c r="C143" s="221"/>
      <c r="D143" s="221"/>
      <c r="E143" s="221"/>
      <c r="F143" s="201"/>
      <c r="G143" s="201"/>
      <c r="H143" s="45" t="s">
        <v>107</v>
      </c>
      <c r="I143" s="45">
        <f>((G139-50*2)/200*2+1)*$I$6/2</f>
        <v>42</v>
      </c>
      <c r="J143" s="45">
        <f>IF(E139&lt;=350,6,8)</f>
        <v>6</v>
      </c>
      <c r="K143" s="47">
        <f>E139-2*$E$3+2*1.9*J143+2*MAX(10*J143,75)+2*J143</f>
        <v>424.8</v>
      </c>
      <c r="L143" s="50">
        <f t="shared" si="3"/>
        <v>3.9629761919999997</v>
      </c>
      <c r="M143" s="189"/>
      <c r="N143" s="189"/>
      <c r="O143" s="189"/>
      <c r="P143" s="189"/>
      <c r="Q143" s="189"/>
    </row>
    <row r="144" spans="2:17" x14ac:dyDescent="0.15">
      <c r="B144" s="225"/>
      <c r="C144" s="221"/>
      <c r="D144" s="222"/>
      <c r="E144" s="222"/>
      <c r="F144" s="202"/>
      <c r="G144" s="202"/>
      <c r="H144" s="45" t="s">
        <v>108</v>
      </c>
      <c r="I144" s="45">
        <f>2*((IF($B$3="一级",MAX(2*F139,500),MAX(1.5*F139,500))-50)/85+1)+(G139-2*IF($B$3="一级",MAX(2*F139,500),MAX(1.5*F139,500)))/170-1</f>
        <v>18.352941176470587</v>
      </c>
      <c r="J144" s="45">
        <v>8</v>
      </c>
      <c r="K144" s="45">
        <f>(E139-2*$E$3+2*J144)*2+(F139-2*$E$3+2*J144)*2+2*1.9*J144+2*MAX(10*J144,75)</f>
        <v>1314.4</v>
      </c>
      <c r="L144" s="50">
        <f t="shared" si="3"/>
        <v>9.5257320508235317</v>
      </c>
      <c r="M144" s="189"/>
      <c r="N144" s="189"/>
      <c r="O144" s="189"/>
      <c r="P144" s="189"/>
      <c r="Q144" s="189"/>
    </row>
    <row r="145" spans="1:17" x14ac:dyDescent="0.15">
      <c r="B145" s="225"/>
      <c r="C145" s="221"/>
      <c r="D145" s="209">
        <v>1</v>
      </c>
      <c r="E145" s="209">
        <v>250</v>
      </c>
      <c r="F145" s="189">
        <v>500</v>
      </c>
      <c r="G145" s="189">
        <v>6000</v>
      </c>
      <c r="H145" s="45" t="s">
        <v>109</v>
      </c>
      <c r="I145" s="45">
        <v>2</v>
      </c>
      <c r="J145" s="45">
        <v>22</v>
      </c>
      <c r="K145" s="47">
        <f>G145-G145/3*2+150*2</f>
        <v>2300</v>
      </c>
      <c r="L145" s="50">
        <f t="shared" si="3"/>
        <v>13.736888</v>
      </c>
      <c r="M145" s="189">
        <f>(2*F145+E145)*G145/10^6</f>
        <v>7.5</v>
      </c>
      <c r="N145" s="189">
        <f>PRODUCT(E145:G153)/10^9</f>
        <v>0.75</v>
      </c>
      <c r="O145" s="189">
        <f>SUM(L145:L153)</f>
        <v>201.20619964847057</v>
      </c>
      <c r="P145" s="189"/>
      <c r="Q145" s="189">
        <v>1</v>
      </c>
    </row>
    <row r="146" spans="1:17" x14ac:dyDescent="0.15">
      <c r="B146" s="225"/>
      <c r="C146" s="221"/>
      <c r="D146" s="209"/>
      <c r="E146" s="209"/>
      <c r="F146" s="189"/>
      <c r="G146" s="189"/>
      <c r="H146" s="45" t="s">
        <v>112</v>
      </c>
      <c r="I146" s="45">
        <v>4</v>
      </c>
      <c r="J146" s="45">
        <v>22</v>
      </c>
      <c r="K146" s="47">
        <f>G145/3+MAX($D$3*J146,0.4*$D$3*J146+15*J146,MAX(柱工程量计算!$E$3:$F$72)-$E$3+15*J146)</f>
        <v>2900</v>
      </c>
      <c r="L146" s="50">
        <f t="shared" si="3"/>
        <v>34.640848000000005</v>
      </c>
      <c r="M146" s="189"/>
      <c r="N146" s="189"/>
      <c r="O146" s="189"/>
      <c r="P146" s="189"/>
      <c r="Q146" s="189"/>
    </row>
    <row r="147" spans="1:17" x14ac:dyDescent="0.15">
      <c r="B147" s="225"/>
      <c r="C147" s="221"/>
      <c r="D147" s="209"/>
      <c r="E147" s="209"/>
      <c r="F147" s="189"/>
      <c r="G147" s="189"/>
      <c r="H147" s="45" t="s">
        <v>117</v>
      </c>
      <c r="I147" s="45">
        <v>4</v>
      </c>
      <c r="J147" s="45">
        <v>22</v>
      </c>
      <c r="K147" s="47">
        <f>G145/3+MAX($D$3*J147,0.4*$D$3*J147+15*J147,MAX(柱工程量计算!$E$3:$F$72)-$E$3+15*J147)</f>
        <v>2900</v>
      </c>
      <c r="L147" s="50">
        <f t="shared" si="3"/>
        <v>34.640848000000005</v>
      </c>
      <c r="M147" s="189"/>
      <c r="N147" s="189"/>
      <c r="O147" s="189"/>
      <c r="P147" s="189"/>
      <c r="Q147" s="189"/>
    </row>
    <row r="148" spans="1:17" x14ac:dyDescent="0.15">
      <c r="B148" s="225"/>
      <c r="C148" s="221"/>
      <c r="D148" s="209"/>
      <c r="E148" s="209"/>
      <c r="F148" s="189"/>
      <c r="G148" s="189"/>
      <c r="H148" s="45" t="s">
        <v>118</v>
      </c>
      <c r="I148" s="45">
        <v>2</v>
      </c>
      <c r="J148" s="45">
        <v>18</v>
      </c>
      <c r="K148" s="47">
        <f>G145/4+MAX($D$3*J148,0.4*$D$3*J148+15*J148,MAX(柱工程量计算!$E$3:$F$72)-$E$3+15*J148)</f>
        <v>2340</v>
      </c>
      <c r="L148" s="50">
        <f t="shared" si="3"/>
        <v>9.3556944000000009</v>
      </c>
      <c r="M148" s="189"/>
      <c r="N148" s="189"/>
      <c r="O148" s="189"/>
      <c r="P148" s="189"/>
      <c r="Q148" s="189"/>
    </row>
    <row r="149" spans="1:17" x14ac:dyDescent="0.15">
      <c r="B149" s="225"/>
      <c r="C149" s="221"/>
      <c r="D149" s="209"/>
      <c r="E149" s="209"/>
      <c r="F149" s="189"/>
      <c r="G149" s="189"/>
      <c r="H149" s="45" t="s">
        <v>100</v>
      </c>
      <c r="I149" s="45">
        <v>4</v>
      </c>
      <c r="J149" s="45">
        <v>12</v>
      </c>
      <c r="K149" s="47">
        <f>IF(F145&gt;=450,G145+2*IF((MAX(柱工程量计算!$E$3:$F$72)-$E$3)&gt;$D$3*J149,MAX($D$3*J149,0.5*MAX(柱工程量计算!$E$3:$F$72)+5*J149),MAX($D$3*J149,0.4*$D$3*J149+15*J149)),G145+15*J149)</f>
        <v>6720</v>
      </c>
      <c r="L149" s="50">
        <f t="shared" si="3"/>
        <v>23.882342399999999</v>
      </c>
      <c r="M149" s="189"/>
      <c r="N149" s="189"/>
      <c r="O149" s="189"/>
      <c r="P149" s="189"/>
      <c r="Q149" s="189"/>
    </row>
    <row r="150" spans="1:17" x14ac:dyDescent="0.15">
      <c r="B150" s="225"/>
      <c r="C150" s="221"/>
      <c r="D150" s="209"/>
      <c r="E150" s="209"/>
      <c r="F150" s="189"/>
      <c r="G150" s="189"/>
      <c r="H150" s="45" t="s">
        <v>116</v>
      </c>
      <c r="I150" s="45">
        <v>2</v>
      </c>
      <c r="J150" s="45">
        <v>20</v>
      </c>
      <c r="K150" s="47">
        <f>G145+2*IF((MAX(柱工程量计算!$E$3:$F$72)-$E$3)&gt;$D$3*J150,MAX($D$3*J150,0.5*MAX(柱工程量计算!$E$3:$F$72)+5*J150),MAX($D$3*J150,0.4*$D$3*J150+15*J150))</f>
        <v>7050</v>
      </c>
      <c r="L150" s="50">
        <f t="shared" si="3"/>
        <v>34.7988</v>
      </c>
      <c r="M150" s="189"/>
      <c r="N150" s="189"/>
      <c r="O150" s="189"/>
      <c r="P150" s="189"/>
      <c r="Q150" s="189"/>
    </row>
    <row r="151" spans="1:17" x14ac:dyDescent="0.15">
      <c r="B151" s="225"/>
      <c r="C151" s="221"/>
      <c r="D151" s="209"/>
      <c r="E151" s="209"/>
      <c r="F151" s="189"/>
      <c r="G151" s="189"/>
      <c r="H151" s="45" t="s">
        <v>115</v>
      </c>
      <c r="I151" s="45">
        <v>1</v>
      </c>
      <c r="J151" s="45">
        <v>18</v>
      </c>
      <c r="K151" s="47">
        <f>G145+2*IF((MAX(柱工程量计算!$E$3:$F$72)-$E$3)&gt;$D$3*J151,MAX($D$3*J151,0.5*MAX(柱工程量计算!$E$3:$F$72)+5*J151),MAX($D$3*J151,0.4*$D$3*J151+15*J151))</f>
        <v>6945</v>
      </c>
      <c r="L151" s="50">
        <f t="shared" si="3"/>
        <v>13.883610600000003</v>
      </c>
      <c r="M151" s="189"/>
      <c r="N151" s="189"/>
      <c r="O151" s="189"/>
      <c r="P151" s="189"/>
      <c r="Q151" s="189"/>
    </row>
    <row r="152" spans="1:17" x14ac:dyDescent="0.15">
      <c r="B152" s="225"/>
      <c r="C152" s="221"/>
      <c r="D152" s="209"/>
      <c r="E152" s="209"/>
      <c r="F152" s="189"/>
      <c r="G152" s="189"/>
      <c r="H152" s="45" t="s">
        <v>107</v>
      </c>
      <c r="I152" s="45">
        <f>((G145-50*2)/200*2+1)*$I$6/2</f>
        <v>120</v>
      </c>
      <c r="J152" s="45">
        <f>IF(E145&lt;=350,6,8)</f>
        <v>6</v>
      </c>
      <c r="K152" s="47">
        <f>E145-2*$E$3+2*1.9*J152+2*MAX(10*J152,75)+2*J152</f>
        <v>374.8</v>
      </c>
      <c r="L152" s="50">
        <f t="shared" si="3"/>
        <v>9.9900691199999976</v>
      </c>
      <c r="M152" s="189"/>
      <c r="N152" s="189"/>
      <c r="O152" s="189"/>
      <c r="P152" s="189"/>
      <c r="Q152" s="189"/>
    </row>
    <row r="153" spans="1:17" x14ac:dyDescent="0.15">
      <c r="B153" s="225"/>
      <c r="C153" s="222"/>
      <c r="D153" s="209"/>
      <c r="E153" s="209"/>
      <c r="F153" s="189"/>
      <c r="G153" s="189"/>
      <c r="H153" s="45" t="s">
        <v>108</v>
      </c>
      <c r="I153" s="45">
        <f>2*((IF($B$3="一级",MAX(2*F145,500),MAX(1.5*F145,500))-50)/85+1)+(G145-2*IF($B$3="一级",MAX(2*F145,500),MAX(1.5*F145,500)))/170-1</f>
        <v>43.941176470588232</v>
      </c>
      <c r="J153" s="45">
        <v>8</v>
      </c>
      <c r="K153" s="45">
        <f>(E145-2*$E$3+2*J153)*2+(F145-2*$E$3+2*J153)*2+2*1.9*J153+2*MAX(10*J153,75)</f>
        <v>1514.4</v>
      </c>
      <c r="L153" s="50">
        <f t="shared" si="3"/>
        <v>26.277099128470592</v>
      </c>
      <c r="M153" s="189"/>
      <c r="N153" s="189"/>
      <c r="O153" s="189"/>
      <c r="P153" s="189"/>
      <c r="Q153" s="189"/>
    </row>
    <row r="154" spans="1:17" x14ac:dyDescent="0.15">
      <c r="B154" s="225"/>
      <c r="C154" s="220" t="s">
        <v>136</v>
      </c>
      <c r="D154" s="220">
        <v>6</v>
      </c>
      <c r="E154" s="220">
        <v>250</v>
      </c>
      <c r="F154" s="203">
        <v>400</v>
      </c>
      <c r="G154" s="203">
        <v>6000</v>
      </c>
      <c r="H154" s="45" t="s">
        <v>121</v>
      </c>
      <c r="I154" s="45">
        <v>4</v>
      </c>
      <c r="J154" s="45">
        <v>20</v>
      </c>
      <c r="K154" s="47">
        <f>G154+2*IF((MAX(柱工程量计算!$E$3:$F$72)-$E$3)&gt;$D$3*J154,MAX($D$3*J154,0.5*MAX(柱工程量计算!$E$3:$F$72)+5*J154,MAX($D$3*J154,0.4*$D$3*J154+15*J154)))</f>
        <v>7050</v>
      </c>
      <c r="L154" s="50">
        <f t="shared" si="3"/>
        <v>69.5976</v>
      </c>
      <c r="M154" s="189">
        <f>(2*F154+E154)*G154/10^6</f>
        <v>6.3</v>
      </c>
      <c r="N154" s="189">
        <f>PRODUCT(E154:G157)/10^9</f>
        <v>0.6</v>
      </c>
      <c r="O154" s="189">
        <f>SUM(L154:L157)</f>
        <v>180.84189049599999</v>
      </c>
      <c r="P154" s="189">
        <v>5</v>
      </c>
      <c r="Q154" s="189"/>
    </row>
    <row r="155" spans="1:17" x14ac:dyDescent="0.15">
      <c r="B155" s="225"/>
      <c r="C155" s="221"/>
      <c r="D155" s="221"/>
      <c r="E155" s="221"/>
      <c r="F155" s="201"/>
      <c r="G155" s="201"/>
      <c r="H155" s="45" t="s">
        <v>120</v>
      </c>
      <c r="I155" s="45">
        <v>3</v>
      </c>
      <c r="J155" s="45">
        <v>20</v>
      </c>
      <c r="K155" s="47">
        <f>G154+2*IF((MAX(柱工程量计算!$E$3:$F$72)-$E$3)&gt;$D$3*J155,MAX($D$3*J155,0.5*MAX(柱工程量计算!$E$3:$F$72)+5*J155,MAX($D$3*J155,0.4*$D$3*J155+15*J155)))</f>
        <v>7050</v>
      </c>
      <c r="L155" s="50">
        <f t="shared" si="3"/>
        <v>52.1982</v>
      </c>
      <c r="M155" s="189"/>
      <c r="N155" s="189"/>
      <c r="O155" s="189"/>
      <c r="P155" s="189"/>
      <c r="Q155" s="189"/>
    </row>
    <row r="156" spans="1:17" x14ac:dyDescent="0.15">
      <c r="B156" s="225"/>
      <c r="C156" s="221"/>
      <c r="D156" s="221"/>
      <c r="E156" s="221"/>
      <c r="F156" s="201"/>
      <c r="G156" s="201"/>
      <c r="H156" s="45" t="s">
        <v>129</v>
      </c>
      <c r="I156" s="45">
        <v>4</v>
      </c>
      <c r="J156" s="45">
        <v>16</v>
      </c>
      <c r="K156" s="47">
        <f>$G$7+2*IF((MAX(柱工程量计算!$E$3:$F$72)-$E$3)&gt;$D$3*J156,MAX($D$3*J156,0.5*MAX(柱工程量计算!$E$3:$F$72)+5*J156),MAX($D$3*J156,0.4*$D$3*J156+15*J156))</f>
        <v>6840</v>
      </c>
      <c r="L156" s="50">
        <f t="shared" si="3"/>
        <v>43.215667200000006</v>
      </c>
      <c r="M156" s="189"/>
      <c r="N156" s="189"/>
      <c r="O156" s="189"/>
      <c r="P156" s="189"/>
      <c r="Q156" s="189"/>
    </row>
    <row r="157" spans="1:17" s="46" customFormat="1" x14ac:dyDescent="0.15">
      <c r="A157" s="195"/>
      <c r="B157" s="225"/>
      <c r="C157" s="222"/>
      <c r="D157" s="222"/>
      <c r="E157" s="222"/>
      <c r="F157" s="202"/>
      <c r="G157" s="202"/>
      <c r="H157" s="45" t="s">
        <v>108</v>
      </c>
      <c r="I157" s="45">
        <f>2*((IF($B$3="一级",MAX(2*F154,500),MAX(1.5*F154,500))-50)/200+1)+(G154-2*IF($B$3="一级",MAX(2*F154,500),MAX(1.5*F154,500)))/200-1</f>
        <v>30.5</v>
      </c>
      <c r="J157" s="45">
        <v>8</v>
      </c>
      <c r="K157" s="45">
        <f>(E154-2*$E$3+2*J157)*2+(F154-2*$E$3+2*J157)*2+2*1.9*J157+2*MAX(10*J157,75)</f>
        <v>1314.4</v>
      </c>
      <c r="L157" s="50">
        <f t="shared" si="3"/>
        <v>15.830423296000003</v>
      </c>
      <c r="M157" s="189"/>
      <c r="N157" s="189"/>
      <c r="O157" s="189"/>
      <c r="P157" s="189"/>
      <c r="Q157" s="189"/>
    </row>
    <row r="158" spans="1:17" x14ac:dyDescent="0.15">
      <c r="B158" s="225"/>
      <c r="C158" s="220" t="s">
        <v>137</v>
      </c>
      <c r="D158" s="220">
        <v>1</v>
      </c>
      <c r="E158" s="220">
        <v>250</v>
      </c>
      <c r="F158" s="203">
        <v>400</v>
      </c>
      <c r="G158" s="203">
        <v>6000</v>
      </c>
      <c r="H158" s="45" t="s">
        <v>130</v>
      </c>
      <c r="I158" s="45">
        <v>4</v>
      </c>
      <c r="J158" s="45">
        <v>25</v>
      </c>
      <c r="K158" s="47">
        <f>G158+2*IF((MAX(柱工程量计算!$E$3:$F$72)-$E$3)&gt;$D$3*J158,MAX($D$3*J158,0.5*MAX(柱工程量计算!$E$3:$F$72)+5*J158,MAX($D$3*J158,0.4*$D$3*J158+15*J158)))</f>
        <v>6000</v>
      </c>
      <c r="L158" s="50">
        <f t="shared" si="3"/>
        <v>92.55</v>
      </c>
      <c r="M158" s="189">
        <f>(2*F158+E158)*G158/10^6</f>
        <v>6.3</v>
      </c>
      <c r="N158" s="189">
        <f>PRODUCT(E158:G160)/10^9</f>
        <v>0.6</v>
      </c>
      <c r="O158" s="189">
        <f>SUM(L158:L160)</f>
        <v>124.68205689599999</v>
      </c>
      <c r="P158" s="189">
        <v>1</v>
      </c>
      <c r="Q158" s="189"/>
    </row>
    <row r="159" spans="1:17" x14ac:dyDescent="0.15">
      <c r="B159" s="225"/>
      <c r="C159" s="221"/>
      <c r="D159" s="221"/>
      <c r="E159" s="221"/>
      <c r="F159" s="201"/>
      <c r="G159" s="201"/>
      <c r="H159" s="45" t="s">
        <v>129</v>
      </c>
      <c r="I159" s="45">
        <v>2</v>
      </c>
      <c r="J159" s="45">
        <v>14</v>
      </c>
      <c r="K159" s="47">
        <f>$G$7+2*IF((MAX(柱工程量计算!$E$3:$F$72)-$E$3)&gt;$D$3*J159,MAX($D$3*J159,0.5*MAX(柱工程量计算!$E$3:$F$72)+5*J159),MAX($D$3*J159,0.4*$D$3*J159+15*J159))</f>
        <v>6740</v>
      </c>
      <c r="L159" s="50">
        <f t="shared" si="3"/>
        <v>16.301633599999995</v>
      </c>
      <c r="M159" s="189"/>
      <c r="N159" s="189"/>
      <c r="O159" s="189"/>
      <c r="P159" s="189"/>
      <c r="Q159" s="189"/>
    </row>
    <row r="160" spans="1:17" s="46" customFormat="1" x14ac:dyDescent="0.15">
      <c r="A160" s="195"/>
      <c r="B160" s="225"/>
      <c r="C160" s="222"/>
      <c r="D160" s="222"/>
      <c r="E160" s="222"/>
      <c r="F160" s="202"/>
      <c r="G160" s="202"/>
      <c r="H160" s="45" t="s">
        <v>108</v>
      </c>
      <c r="I160" s="45">
        <f>2*((IF($B$3="一级",MAX(2*F158,500),MAX(1.5*F158,500))-50)/200+1)+(G158-2*IF($B$3="一级",MAX(2*F158,500),MAX(1.5*F158,500)))/200-1</f>
        <v>30.5</v>
      </c>
      <c r="J160" s="45">
        <v>8</v>
      </c>
      <c r="K160" s="45">
        <f>(E158-2*$E$3+2*J160)*2+(F158-2*$E$3+2*J160)*2+2*1.9*J160+2*MAX(10*J160,75)</f>
        <v>1314.4</v>
      </c>
      <c r="L160" s="50">
        <f t="shared" si="3"/>
        <v>15.830423296000003</v>
      </c>
      <c r="M160" s="189"/>
      <c r="N160" s="189"/>
      <c r="O160" s="189"/>
      <c r="P160" s="189"/>
      <c r="Q160" s="189"/>
    </row>
    <row r="161" spans="1:17" x14ac:dyDescent="0.15">
      <c r="B161" s="225"/>
      <c r="C161" s="220" t="s">
        <v>138</v>
      </c>
      <c r="D161" s="220">
        <v>3</v>
      </c>
      <c r="E161" s="220">
        <v>250</v>
      </c>
      <c r="F161" s="203">
        <v>400</v>
      </c>
      <c r="G161" s="203">
        <v>6000</v>
      </c>
      <c r="H161" s="45" t="s">
        <v>121</v>
      </c>
      <c r="I161" s="45">
        <v>2</v>
      </c>
      <c r="J161" s="45">
        <v>25</v>
      </c>
      <c r="K161" s="47">
        <f>G161+2*IF((MAX(柱工程量计算!$E$3:$F$72)-$E$3)&gt;$D$3*J161,MAX($D$3*J161,0.5*MAX(柱工程量计算!$E$3:$F$72)+5*J161,MAX($D$3*J161,0.4*$D$3*J161+15*J161)))</f>
        <v>6000</v>
      </c>
      <c r="L161" s="50">
        <f t="shared" si="3"/>
        <v>46.274999999999999</v>
      </c>
      <c r="M161" s="189">
        <f>(2*F161+E161)*G161/10^6</f>
        <v>6.3</v>
      </c>
      <c r="N161" s="189">
        <f>PRODUCT(E161:G164)/10^9</f>
        <v>0.6</v>
      </c>
      <c r="O161" s="189">
        <f>SUM(L161:L164)</f>
        <v>114.24241689599999</v>
      </c>
      <c r="P161" s="189"/>
      <c r="Q161" s="189">
        <v>2</v>
      </c>
    </row>
    <row r="162" spans="1:17" x14ac:dyDescent="0.15">
      <c r="B162" s="225"/>
      <c r="C162" s="221"/>
      <c r="D162" s="221"/>
      <c r="E162" s="221"/>
      <c r="F162" s="201"/>
      <c r="G162" s="201"/>
      <c r="H162" s="45" t="s">
        <v>120</v>
      </c>
      <c r="I162" s="45">
        <v>2</v>
      </c>
      <c r="J162" s="45">
        <v>22</v>
      </c>
      <c r="K162" s="47">
        <f>G161+2*IF((MAX(柱工程量计算!$E$3:$F$72)-$E$3)&gt;$D$3*J162,MAX($D$3*J162,0.5*MAX(柱工程量计算!$E$3:$F$72)+5*J162,MAX($D$3*J162,0.4*$D$3*J162+15*J162)))</f>
        <v>6000</v>
      </c>
      <c r="L162" s="50">
        <f t="shared" si="3"/>
        <v>35.835360000000001</v>
      </c>
      <c r="M162" s="189"/>
      <c r="N162" s="189"/>
      <c r="O162" s="189"/>
      <c r="P162" s="189"/>
      <c r="Q162" s="189"/>
    </row>
    <row r="163" spans="1:17" x14ac:dyDescent="0.15">
      <c r="B163" s="225"/>
      <c r="C163" s="221"/>
      <c r="D163" s="221"/>
      <c r="E163" s="221"/>
      <c r="F163" s="201"/>
      <c r="G163" s="201"/>
      <c r="H163" s="45" t="s">
        <v>129</v>
      </c>
      <c r="I163" s="45">
        <v>2</v>
      </c>
      <c r="J163" s="45">
        <v>14</v>
      </c>
      <c r="K163" s="47">
        <f>$G$7+2*IF((MAX(柱工程量计算!$E$3:$F$72)-$E$3)&gt;$D$3*J163,MAX($D$3*J163,0.5*MAX(柱工程量计算!$E$3:$F$72)+5*J163),MAX($D$3*J163,0.4*$D$3*J163+15*J163))</f>
        <v>6740</v>
      </c>
      <c r="L163" s="50">
        <f t="shared" si="3"/>
        <v>16.301633599999995</v>
      </c>
      <c r="M163" s="189"/>
      <c r="N163" s="189"/>
      <c r="O163" s="189"/>
      <c r="P163" s="189"/>
      <c r="Q163" s="189"/>
    </row>
    <row r="164" spans="1:17" s="46" customFormat="1" x14ac:dyDescent="0.15">
      <c r="A164" s="195"/>
      <c r="B164" s="225"/>
      <c r="C164" s="222"/>
      <c r="D164" s="222"/>
      <c r="E164" s="222"/>
      <c r="F164" s="202"/>
      <c r="G164" s="202"/>
      <c r="H164" s="45" t="s">
        <v>108</v>
      </c>
      <c r="I164" s="45">
        <f>2*((IF($B$3="一级",MAX(2*F161,500),MAX(1.5*F161,500))-50)/200+1)+(G161-2*IF($B$3="一级",MAX(2*F161,500),MAX(1.5*F161,500)))/200-1</f>
        <v>30.5</v>
      </c>
      <c r="J164" s="45">
        <v>8</v>
      </c>
      <c r="K164" s="45">
        <f>(E161-2*$E$3+2*J164)*2+(F161-2*$E$3+2*J164)*2+2*1.9*J164+2*MAX(10*J164,75)</f>
        <v>1314.4</v>
      </c>
      <c r="L164" s="50">
        <f t="shared" si="3"/>
        <v>15.830423296000003</v>
      </c>
      <c r="M164" s="189"/>
      <c r="N164" s="189"/>
      <c r="O164" s="189"/>
      <c r="P164" s="189"/>
      <c r="Q164" s="189"/>
    </row>
    <row r="165" spans="1:17" x14ac:dyDescent="0.15">
      <c r="B165" s="225"/>
      <c r="C165" s="209" t="s">
        <v>139</v>
      </c>
      <c r="D165" s="209">
        <v>1</v>
      </c>
      <c r="E165" s="209">
        <v>250</v>
      </c>
      <c r="F165" s="189">
        <v>400</v>
      </c>
      <c r="G165" s="189">
        <v>6000</v>
      </c>
      <c r="H165" s="45" t="s">
        <v>130</v>
      </c>
      <c r="I165" s="45">
        <v>3</v>
      </c>
      <c r="J165" s="45">
        <v>25</v>
      </c>
      <c r="K165" s="47">
        <f>G165+2*IF((MAX(柱工程量计算!$E$3:$F$72)-$E$3)&gt;$D$3*J165,MAX($D$3*J165,0.5*MAX(柱工程量计算!$E$3:$F$72)+5*J165,MAX($D$3*J165,0.4*$D$3*J165+15*J165)))</f>
        <v>6000</v>
      </c>
      <c r="L165" s="50">
        <f t="shared" si="3"/>
        <v>69.412499999999994</v>
      </c>
      <c r="M165" s="189">
        <f>(2*F165+E165)*G165/10^6</f>
        <v>6.3</v>
      </c>
      <c r="N165" s="189">
        <f>PRODUCT(E165:G167)/10^9</f>
        <v>0.6</v>
      </c>
      <c r="O165" s="189">
        <f>SUM(L165:L167)</f>
        <v>106.85075689600001</v>
      </c>
      <c r="P165" s="189"/>
      <c r="Q165" s="189">
        <v>1</v>
      </c>
    </row>
    <row r="166" spans="1:17" x14ac:dyDescent="0.15">
      <c r="B166" s="225"/>
      <c r="C166" s="209"/>
      <c r="D166" s="209"/>
      <c r="E166" s="209"/>
      <c r="F166" s="189"/>
      <c r="G166" s="189"/>
      <c r="H166" s="45" t="s">
        <v>129</v>
      </c>
      <c r="I166" s="45">
        <v>2</v>
      </c>
      <c r="J166" s="45">
        <v>16</v>
      </c>
      <c r="K166" s="47">
        <f>$G$7+2*IF((MAX(柱工程量计算!$E$3:$F$72)-$E$3)&gt;$D$3*J166,MAX($D$3*J166,0.5*MAX(柱工程量计算!$E$3:$F$72)+5*J166),MAX($D$3*J166,0.4*$D$3*J166+15*J166))</f>
        <v>6840</v>
      </c>
      <c r="L166" s="50">
        <f t="shared" si="3"/>
        <v>21.607833600000003</v>
      </c>
      <c r="M166" s="189"/>
      <c r="N166" s="189"/>
      <c r="O166" s="189"/>
      <c r="P166" s="189"/>
      <c r="Q166" s="189"/>
    </row>
    <row r="167" spans="1:17" x14ac:dyDescent="0.15">
      <c r="B167" s="225"/>
      <c r="C167" s="209"/>
      <c r="D167" s="209"/>
      <c r="E167" s="209"/>
      <c r="F167" s="189"/>
      <c r="G167" s="189"/>
      <c r="H167" s="45" t="s">
        <v>108</v>
      </c>
      <c r="I167" s="45">
        <f>2*((IF($B$3="一级",MAX(2*F165,500),MAX(1.5*F165,500))-50)/200+1)+(G165-2*IF($B$3="一级",MAX(2*F165,500),MAX(1.5*F165,500)))/200-1</f>
        <v>30.5</v>
      </c>
      <c r="J167" s="45">
        <v>8</v>
      </c>
      <c r="K167" s="45">
        <f>(E165-2*$E$3+2*J167)*2+(F165-2*$E$3+2*J167)*2+2*1.9*J167+2*MAX(10*J167,75)</f>
        <v>1314.4</v>
      </c>
      <c r="L167" s="50">
        <f t="shared" si="3"/>
        <v>15.830423296000003</v>
      </c>
      <c r="M167" s="189"/>
      <c r="N167" s="189"/>
      <c r="O167" s="189"/>
      <c r="P167" s="189"/>
      <c r="Q167" s="189"/>
    </row>
    <row r="168" spans="1:17" x14ac:dyDescent="0.15">
      <c r="B168" s="225"/>
      <c r="C168" s="209" t="s">
        <v>140</v>
      </c>
      <c r="D168" s="209">
        <v>1</v>
      </c>
      <c r="E168" s="209">
        <v>250</v>
      </c>
      <c r="F168" s="189">
        <v>400</v>
      </c>
      <c r="G168" s="189">
        <v>6000</v>
      </c>
      <c r="H168" s="45" t="s">
        <v>130</v>
      </c>
      <c r="I168" s="45">
        <v>2</v>
      </c>
      <c r="J168" s="45">
        <v>32</v>
      </c>
      <c r="K168" s="47">
        <f>G168+2*IF((MAX(柱工程量计算!$E$3:$F$72)-$E$3)&gt;$D$3*J168,MAX($D$3*J168,0.5*MAX(柱工程量计算!$E$3:$F$72)+5*J168,MAX($D$3*J168,0.4*$D$3*J168+15*J168)))</f>
        <v>6000</v>
      </c>
      <c r="L168" s="50">
        <f t="shared" si="3"/>
        <v>75.816960000000009</v>
      </c>
      <c r="M168" s="189">
        <f>(2*F168+E168)*G168/10^6</f>
        <v>6.3</v>
      </c>
      <c r="N168" s="189">
        <f>PRODUCT(E168:G169)/10^9</f>
        <v>0.6</v>
      </c>
      <c r="O168" s="189">
        <f>SUM(L168:L169)</f>
        <v>113.22690400000002</v>
      </c>
      <c r="P168" s="189"/>
      <c r="Q168" s="189">
        <v>1</v>
      </c>
    </row>
    <row r="169" spans="1:17" x14ac:dyDescent="0.15">
      <c r="B169" s="225"/>
      <c r="C169" s="209"/>
      <c r="D169" s="209"/>
      <c r="E169" s="209"/>
      <c r="F169" s="189"/>
      <c r="G169" s="189"/>
      <c r="H169" s="45" t="s">
        <v>108</v>
      </c>
      <c r="I169" s="45">
        <f>2*((IF($B$3="一级",MAX(2*F168,500),MAX(1.5*F168,500))-50)/100+1)+(G168-2*IF($B$3="一级",MAX(2*F168,500),MAX(1.5*F168,500)))/150-1</f>
        <v>44</v>
      </c>
      <c r="J169" s="45">
        <v>10</v>
      </c>
      <c r="K169" s="45">
        <f>(E168-2*$E$3+2*J169)*2+(F168-2*$E$3+2*J169)*2+2*1.9*J169+2*MAX(10*J169,75)</f>
        <v>1378</v>
      </c>
      <c r="L169" s="50">
        <f t="shared" si="3"/>
        <v>37.409944000000003</v>
      </c>
      <c r="M169" s="189"/>
      <c r="N169" s="189"/>
      <c r="O169" s="189"/>
      <c r="P169" s="189"/>
      <c r="Q169" s="189"/>
    </row>
    <row r="170" spans="1:17" x14ac:dyDescent="0.15">
      <c r="B170" s="225"/>
      <c r="C170" s="209" t="s">
        <v>131</v>
      </c>
      <c r="D170" s="218" t="s">
        <v>106</v>
      </c>
      <c r="E170" s="219"/>
      <c r="F170" s="218">
        <v>42600</v>
      </c>
      <c r="G170" s="219"/>
      <c r="H170" s="45" t="s">
        <v>103</v>
      </c>
      <c r="I170" s="45">
        <v>2</v>
      </c>
      <c r="J170" s="45">
        <v>18</v>
      </c>
      <c r="K170" s="47">
        <f>F170+2*IF((MAX(柱工程量计算!$E$3:$F$72)-$E$3)&gt;$D$3*J170,MAX($D$3*J170,0.5*MAX(柱工程量计算!$E$3:$F$72)+5*J170,MAX($D$3*J170,0.4*$D$3*J170+15*J170)))</f>
        <v>43545</v>
      </c>
      <c r="L170" s="50">
        <f t="shared" si="3"/>
        <v>174.09987720000001</v>
      </c>
      <c r="M170" s="189">
        <f>(2*F172+E172)*G172/10^6</f>
        <v>7.5</v>
      </c>
      <c r="N170" s="189">
        <f>PRODUCT(E172:G180)/10^9</f>
        <v>0.75</v>
      </c>
      <c r="O170" s="189">
        <f>SUM(L170:L180)</f>
        <v>575.41510452200009</v>
      </c>
      <c r="P170" s="189">
        <v>2</v>
      </c>
      <c r="Q170" s="189"/>
    </row>
    <row r="171" spans="1:17" x14ac:dyDescent="0.15">
      <c r="B171" s="225"/>
      <c r="C171" s="209"/>
      <c r="D171" s="223"/>
      <c r="E171" s="224"/>
      <c r="F171" s="223"/>
      <c r="G171" s="224"/>
      <c r="H171" s="45" t="s">
        <v>100</v>
      </c>
      <c r="I171" s="45">
        <v>4</v>
      </c>
      <c r="J171" s="45">
        <v>12</v>
      </c>
      <c r="K171" s="47">
        <f>IF(F172&gt;=450,F170+2*IF((MAX(柱工程量计算!$E$3:$F$72)-$E$3)&gt;$D$3*J171,MAX($D$3*J171,0.5*MAX(柱工程量计算!$E$3:$F$72)+5*J171),MAX($D$3*J171,0.4*$D$3*J171+15*J171)),F170+15*J171)</f>
        <v>43320</v>
      </c>
      <c r="L171" s="50">
        <f t="shared" si="3"/>
        <v>153.95581440000001</v>
      </c>
      <c r="M171" s="189"/>
      <c r="N171" s="189"/>
      <c r="O171" s="189"/>
      <c r="P171" s="189"/>
      <c r="Q171" s="189"/>
    </row>
    <row r="172" spans="1:17" x14ac:dyDescent="0.15">
      <c r="B172" s="225"/>
      <c r="C172" s="209"/>
      <c r="D172" s="209">
        <v>2</v>
      </c>
      <c r="E172" s="209">
        <v>250</v>
      </c>
      <c r="F172" s="189">
        <v>500</v>
      </c>
      <c r="G172" s="189">
        <v>6000</v>
      </c>
      <c r="H172" s="45" t="s">
        <v>95</v>
      </c>
      <c r="I172" s="45">
        <v>4</v>
      </c>
      <c r="J172" s="45">
        <v>22</v>
      </c>
      <c r="K172" s="47">
        <f>G172/3+MAX($D$3*J172,0.4*$D$3*J172+15*J172,MAX(柱工程量计算!$E$3:$F$72)-$E$3+15*J172)</f>
        <v>2900</v>
      </c>
      <c r="L172" s="50">
        <f t="shared" si="3"/>
        <v>34.640848000000005</v>
      </c>
      <c r="M172" s="189"/>
      <c r="N172" s="189"/>
      <c r="O172" s="189"/>
      <c r="P172" s="189"/>
      <c r="Q172" s="189"/>
    </row>
    <row r="173" spans="1:17" x14ac:dyDescent="0.15">
      <c r="B173" s="225"/>
      <c r="C173" s="209"/>
      <c r="D173" s="209"/>
      <c r="E173" s="209"/>
      <c r="F173" s="189"/>
      <c r="G173" s="189"/>
      <c r="H173" s="45" t="s">
        <v>97</v>
      </c>
      <c r="I173" s="45">
        <v>4</v>
      </c>
      <c r="J173" s="45">
        <v>18</v>
      </c>
      <c r="K173" s="47">
        <f>G172/4+MAX($D$3*J173,0.4*$D$3*J173+15*J173,MAX(柱工程量计算!$E$3:$F$72)-$E$3+15*J173)</f>
        <v>2340</v>
      </c>
      <c r="L173" s="50">
        <f t="shared" si="3"/>
        <v>18.711388800000002</v>
      </c>
      <c r="M173" s="189"/>
      <c r="N173" s="189"/>
      <c r="O173" s="189"/>
      <c r="P173" s="189"/>
      <c r="Q173" s="189"/>
    </row>
    <row r="174" spans="1:17" x14ac:dyDescent="0.15">
      <c r="B174" s="225"/>
      <c r="C174" s="209"/>
      <c r="D174" s="209"/>
      <c r="E174" s="209"/>
      <c r="F174" s="189"/>
      <c r="G174" s="189"/>
      <c r="H174" s="45" t="s">
        <v>98</v>
      </c>
      <c r="I174" s="45">
        <v>4</v>
      </c>
      <c r="J174" s="45">
        <v>22</v>
      </c>
      <c r="K174" s="47">
        <f>G172/3+MAX($D$3*J174,0.4*$D$3*J174+15*J174,MAX(柱工程量计算!$E$3:$F$72)-$E$3+15*J174)</f>
        <v>2900</v>
      </c>
      <c r="L174" s="50">
        <f t="shared" si="3"/>
        <v>34.640848000000005</v>
      </c>
      <c r="M174" s="189"/>
      <c r="N174" s="189"/>
      <c r="O174" s="189"/>
      <c r="P174" s="189"/>
      <c r="Q174" s="189"/>
    </row>
    <row r="175" spans="1:17" x14ac:dyDescent="0.15">
      <c r="B175" s="225"/>
      <c r="C175" s="209"/>
      <c r="D175" s="209"/>
      <c r="E175" s="209"/>
      <c r="F175" s="189"/>
      <c r="G175" s="189"/>
      <c r="H175" s="45" t="s">
        <v>99</v>
      </c>
      <c r="I175" s="45">
        <v>4</v>
      </c>
      <c r="J175" s="45">
        <v>18</v>
      </c>
      <c r="K175" s="47">
        <f>G172/4+MAX($D$3*J175,0.4*$D$3*J175+15*J175,MAX(柱工程量计算!$E$3:$F$72)-$E$3+15*J175)</f>
        <v>2340</v>
      </c>
      <c r="L175" s="50">
        <f t="shared" si="3"/>
        <v>18.711388800000002</v>
      </c>
      <c r="M175" s="189"/>
      <c r="N175" s="189"/>
      <c r="O175" s="189"/>
      <c r="P175" s="189"/>
      <c r="Q175" s="189"/>
    </row>
    <row r="176" spans="1:17" s="46" customFormat="1" x14ac:dyDescent="0.15">
      <c r="A176" s="195"/>
      <c r="B176" s="225"/>
      <c r="C176" s="209"/>
      <c r="D176" s="209"/>
      <c r="E176" s="209"/>
      <c r="F176" s="189"/>
      <c r="G176" s="189"/>
      <c r="H176" s="45" t="s">
        <v>121</v>
      </c>
      <c r="I176" s="45">
        <v>2</v>
      </c>
      <c r="J176" s="45">
        <v>25</v>
      </c>
      <c r="K176" s="47">
        <f>G172+2*IF((MAX(柱工程量计算!$E$3:$F$72)-$E$3)&gt;$D$3*J176,MAX($D$3*J176,0.5*MAX(柱工程量计算!$E$3:$F$72)+5*J176),MAX($D$3*J176,0.4*$D$3*J176+15*J176))</f>
        <v>7312.5</v>
      </c>
      <c r="L176" s="50">
        <f t="shared" si="3"/>
        <v>56.397656249999997</v>
      </c>
      <c r="M176" s="189"/>
      <c r="N176" s="189"/>
      <c r="O176" s="189"/>
      <c r="P176" s="189"/>
      <c r="Q176" s="189"/>
    </row>
    <row r="177" spans="2:17" x14ac:dyDescent="0.15">
      <c r="B177" s="225"/>
      <c r="C177" s="209"/>
      <c r="D177" s="209"/>
      <c r="E177" s="209"/>
      <c r="F177" s="189"/>
      <c r="G177" s="189"/>
      <c r="H177" s="45" t="s">
        <v>120</v>
      </c>
      <c r="I177" s="45">
        <v>2</v>
      </c>
      <c r="J177" s="45">
        <v>20</v>
      </c>
      <c r="K177" s="47">
        <f>G172+2*IF((MAX(柱工程量计算!$E$3:$F$72)-$E$3)&gt;$D$3*J177,MAX($D$3*J177,0.5*MAX(柱工程量计算!$E$3:$F$72)+5*J177),MAX($D$3*J177,0.4*$D$3*J177+15*J177))</f>
        <v>7050</v>
      </c>
      <c r="L177" s="50">
        <f t="shared" si="3"/>
        <v>34.7988</v>
      </c>
      <c r="M177" s="189"/>
      <c r="N177" s="189"/>
      <c r="O177" s="189"/>
      <c r="P177" s="189"/>
      <c r="Q177" s="189"/>
    </row>
    <row r="178" spans="2:17" x14ac:dyDescent="0.15">
      <c r="B178" s="225"/>
      <c r="C178" s="209"/>
      <c r="D178" s="209"/>
      <c r="E178" s="209"/>
      <c r="F178" s="189"/>
      <c r="G178" s="189"/>
      <c r="H178" s="45" t="s">
        <v>107</v>
      </c>
      <c r="I178" s="45">
        <f>((G172-50*2)/200*2+1)*$I$6/2</f>
        <v>120</v>
      </c>
      <c r="J178" s="45">
        <f>IF(E172&lt;=350,6,8)</f>
        <v>6</v>
      </c>
      <c r="K178" s="47">
        <f>E172-2*$E$3+2*1.9*J178+2*MAX(10*J178,75)+2*J178</f>
        <v>374.8</v>
      </c>
      <c r="L178" s="50">
        <f t="shared" si="3"/>
        <v>9.9900691199999976</v>
      </c>
      <c r="M178" s="189"/>
      <c r="N178" s="189"/>
      <c r="O178" s="189"/>
      <c r="P178" s="189"/>
      <c r="Q178" s="189"/>
    </row>
    <row r="179" spans="2:17" x14ac:dyDescent="0.15">
      <c r="B179" s="225"/>
      <c r="C179" s="209"/>
      <c r="D179" s="209"/>
      <c r="E179" s="209"/>
      <c r="F179" s="189"/>
      <c r="G179" s="189"/>
      <c r="H179" s="45" t="s">
        <v>108</v>
      </c>
      <c r="I179" s="45">
        <f>2*((IF($B$3="一级",MAX(2*F172,500),MAX(1.5*F172,500))-50)/100+1)+(G172-2*IF($B$3="一级",MAX(2*F172,500),MAX(1.5*F172,500)))/100-1</f>
        <v>60</v>
      </c>
      <c r="J179" s="45">
        <v>8</v>
      </c>
      <c r="K179" s="45">
        <f>(E172-2*$E$3+2*J179)*2+(F172-2*$E$3+2*J179)*2+2*1.9*J179+2*MAX(10*J179,75)</f>
        <v>1514.4</v>
      </c>
      <c r="L179" s="50">
        <f t="shared" si="3"/>
        <v>35.880376320000003</v>
      </c>
      <c r="M179" s="189"/>
      <c r="N179" s="189"/>
      <c r="O179" s="189"/>
      <c r="P179" s="189"/>
      <c r="Q179" s="189"/>
    </row>
    <row r="180" spans="2:17" x14ac:dyDescent="0.15">
      <c r="B180" s="225"/>
      <c r="C180" s="209"/>
      <c r="D180" s="209"/>
      <c r="E180" s="209"/>
      <c r="F180" s="189"/>
      <c r="G180" s="189"/>
      <c r="H180" s="45" t="s">
        <v>132</v>
      </c>
      <c r="I180" s="45">
        <v>6</v>
      </c>
      <c r="J180" s="45">
        <v>8</v>
      </c>
      <c r="K180" s="47">
        <f>(E172-2*$E$3+2*J180)*2+(F172-2*$E$3+2*J180)*2+2*1.9*J180+2*MAX(10*J180,75)</f>
        <v>1514.4</v>
      </c>
      <c r="L180" s="50">
        <f t="shared" si="3"/>
        <v>3.5880376320000007</v>
      </c>
      <c r="M180" s="189"/>
      <c r="N180" s="189"/>
      <c r="O180" s="189"/>
      <c r="P180" s="189"/>
      <c r="Q180" s="189"/>
    </row>
    <row r="181" spans="2:17" x14ac:dyDescent="0.15">
      <c r="B181" s="225"/>
      <c r="C181" s="209"/>
      <c r="D181" s="209">
        <v>1</v>
      </c>
      <c r="E181" s="209">
        <v>250</v>
      </c>
      <c r="F181" s="189">
        <v>500</v>
      </c>
      <c r="G181" s="189">
        <v>6000</v>
      </c>
      <c r="H181" s="45" t="s">
        <v>95</v>
      </c>
      <c r="I181" s="45">
        <v>4</v>
      </c>
      <c r="J181" s="45">
        <v>22</v>
      </c>
      <c r="K181" s="47">
        <f>G181/3+MAX($D$3*J181,0.4*$D$3*J181+15*J181,MAX(柱工程量计算!$E$3:$F$72)-$E$3+15*J181)</f>
        <v>2900</v>
      </c>
      <c r="L181" s="50">
        <f t="shared" si="3"/>
        <v>34.640848000000005</v>
      </c>
      <c r="M181" s="189">
        <f>(2*F181+E181)*G181/10^6</f>
        <v>7.5</v>
      </c>
      <c r="N181" s="189">
        <f>PRODUCT(E181:G189)/10^9</f>
        <v>0.75</v>
      </c>
      <c r="O181" s="189">
        <f>SUM(L181:L189)</f>
        <v>274.94014217</v>
      </c>
      <c r="P181" s="189">
        <v>1</v>
      </c>
      <c r="Q181" s="189"/>
    </row>
    <row r="182" spans="2:17" x14ac:dyDescent="0.15">
      <c r="B182" s="225"/>
      <c r="C182" s="209"/>
      <c r="D182" s="209"/>
      <c r="E182" s="209"/>
      <c r="F182" s="189"/>
      <c r="G182" s="189"/>
      <c r="H182" s="45" t="s">
        <v>97</v>
      </c>
      <c r="I182" s="45">
        <v>4</v>
      </c>
      <c r="J182" s="45">
        <v>18</v>
      </c>
      <c r="K182" s="47">
        <f>G181/4+MAX($D$3*J182,0.4*$D$3*J182+15*J182,MAX(柱工程量计算!$E$3:$F$72)-$E$3+15*J182)</f>
        <v>2340</v>
      </c>
      <c r="L182" s="50">
        <f t="shared" si="3"/>
        <v>18.711388800000002</v>
      </c>
      <c r="M182" s="189"/>
      <c r="N182" s="189"/>
      <c r="O182" s="189"/>
      <c r="P182" s="189"/>
      <c r="Q182" s="189"/>
    </row>
    <row r="183" spans="2:17" x14ac:dyDescent="0.15">
      <c r="B183" s="225"/>
      <c r="C183" s="209"/>
      <c r="D183" s="209"/>
      <c r="E183" s="209"/>
      <c r="F183" s="189"/>
      <c r="G183" s="189"/>
      <c r="H183" s="45" t="s">
        <v>98</v>
      </c>
      <c r="I183" s="45">
        <v>4</v>
      </c>
      <c r="J183" s="45">
        <v>22</v>
      </c>
      <c r="K183" s="47">
        <f>G181/3+MAX($D$3*J183,0.4*$D$3*J183+15*J183,MAX(柱工程量计算!$E$3:$F$72)-$E$3+15*J183)</f>
        <v>2900</v>
      </c>
      <c r="L183" s="50">
        <f t="shared" si="3"/>
        <v>34.640848000000005</v>
      </c>
      <c r="M183" s="189"/>
      <c r="N183" s="189"/>
      <c r="O183" s="189"/>
      <c r="P183" s="189"/>
      <c r="Q183" s="189"/>
    </row>
    <row r="184" spans="2:17" x14ac:dyDescent="0.15">
      <c r="B184" s="225"/>
      <c r="C184" s="209"/>
      <c r="D184" s="209"/>
      <c r="E184" s="209"/>
      <c r="F184" s="189"/>
      <c r="G184" s="189"/>
      <c r="H184" s="45" t="s">
        <v>99</v>
      </c>
      <c r="I184" s="45">
        <v>3</v>
      </c>
      <c r="J184" s="45">
        <v>22</v>
      </c>
      <c r="K184" s="47">
        <f>G181/4+MAX($D$3*J184,0.4*$D$3*J184+15*J184,MAX(柱工程量计算!$E$3:$F$72)-$E$3+15*J184)</f>
        <v>2400</v>
      </c>
      <c r="L184" s="50">
        <f t="shared" si="3"/>
        <v>21.501216000000003</v>
      </c>
      <c r="M184" s="189"/>
      <c r="N184" s="189"/>
      <c r="O184" s="189"/>
      <c r="P184" s="189"/>
      <c r="Q184" s="189"/>
    </row>
    <row r="185" spans="2:17" x14ac:dyDescent="0.15">
      <c r="B185" s="225"/>
      <c r="C185" s="209"/>
      <c r="D185" s="209"/>
      <c r="E185" s="209"/>
      <c r="F185" s="189"/>
      <c r="G185" s="189"/>
      <c r="H185" s="45" t="s">
        <v>121</v>
      </c>
      <c r="I185" s="45">
        <v>2</v>
      </c>
      <c r="J185" s="45">
        <v>25</v>
      </c>
      <c r="K185" s="47">
        <f>G181+2*IF((MAX(柱工程量计算!$E$3:$F$72)-$E$3)&gt;$D$3*J185,MAX($D$3*J185,0.5*MAX(柱工程量计算!$E$3:$F$72)+5*J185),MAX($D$3*J185,0.4*$D$3*J185+15*J185))</f>
        <v>7312.5</v>
      </c>
      <c r="L185" s="50">
        <f t="shared" si="3"/>
        <v>56.397656249999997</v>
      </c>
      <c r="M185" s="189"/>
      <c r="N185" s="189"/>
      <c r="O185" s="189"/>
      <c r="P185" s="189"/>
      <c r="Q185" s="189"/>
    </row>
    <row r="186" spans="2:17" x14ac:dyDescent="0.15">
      <c r="B186" s="225"/>
      <c r="C186" s="209"/>
      <c r="D186" s="209"/>
      <c r="E186" s="209"/>
      <c r="F186" s="189"/>
      <c r="G186" s="189"/>
      <c r="H186" s="45" t="s">
        <v>120</v>
      </c>
      <c r="I186" s="45">
        <v>2</v>
      </c>
      <c r="J186" s="45">
        <v>20</v>
      </c>
      <c r="K186" s="47">
        <f>G181+2*IF((MAX(柱工程量计算!$E$3:$F$72)-$E$3)&gt;$D$3*J186,MAX($D$3*J186,0.5*MAX(柱工程量计算!$E$3:$F$72)+5*J186),MAX($D$3*J186,0.4*$D$3*J186+15*J186))</f>
        <v>7050</v>
      </c>
      <c r="L186" s="50">
        <f t="shared" si="3"/>
        <v>34.7988</v>
      </c>
      <c r="M186" s="189"/>
      <c r="N186" s="189"/>
      <c r="O186" s="189"/>
      <c r="P186" s="189"/>
      <c r="Q186" s="189"/>
    </row>
    <row r="187" spans="2:17" x14ac:dyDescent="0.15">
      <c r="B187" s="225"/>
      <c r="C187" s="209"/>
      <c r="D187" s="209"/>
      <c r="E187" s="209"/>
      <c r="F187" s="189"/>
      <c r="G187" s="189"/>
      <c r="H187" s="45" t="s">
        <v>107</v>
      </c>
      <c r="I187" s="45">
        <f>((G181-50*2)/200*2+1)*$I$6/2</f>
        <v>120</v>
      </c>
      <c r="J187" s="45">
        <f>IF(E181&lt;=350,6,8)</f>
        <v>6</v>
      </c>
      <c r="K187" s="47">
        <f>E181-2*$E$3+2*1.9*J187+2*MAX(10*J187,75)+2*J187</f>
        <v>374.8</v>
      </c>
      <c r="L187" s="50">
        <f t="shared" si="3"/>
        <v>9.9900691199999976</v>
      </c>
      <c r="M187" s="189"/>
      <c r="N187" s="189"/>
      <c r="O187" s="189"/>
      <c r="P187" s="189"/>
      <c r="Q187" s="189"/>
    </row>
    <row r="188" spans="2:17" x14ac:dyDescent="0.15">
      <c r="B188" s="225"/>
      <c r="C188" s="209"/>
      <c r="D188" s="209"/>
      <c r="E188" s="209"/>
      <c r="F188" s="189"/>
      <c r="G188" s="189"/>
      <c r="H188" s="45" t="s">
        <v>108</v>
      </c>
      <c r="I188" s="45">
        <f>2*((IF($B$3="一级",MAX(2*F181,500),MAX(1.5*F181,500))-50)/100+1)+(G181-2*IF($B$3="一级",MAX(2*F181,500),MAX(1.5*F181,500)))/100-1</f>
        <v>60</v>
      </c>
      <c r="J188" s="45">
        <v>10</v>
      </c>
      <c r="K188" s="45">
        <f>(E181-2*$E$3+2*J188)*2+(F181-2*$E$3+2*J188)*2+2*1.9*J188+2*MAX(10*J188,75)</f>
        <v>1578</v>
      </c>
      <c r="L188" s="50">
        <f t="shared" si="3"/>
        <v>58.417559999999987</v>
      </c>
      <c r="M188" s="189"/>
      <c r="N188" s="189"/>
      <c r="O188" s="189"/>
      <c r="P188" s="189"/>
      <c r="Q188" s="189"/>
    </row>
    <row r="189" spans="2:17" x14ac:dyDescent="0.15">
      <c r="B189" s="225"/>
      <c r="C189" s="209"/>
      <c r="D189" s="209"/>
      <c r="E189" s="209"/>
      <c r="F189" s="189"/>
      <c r="G189" s="189"/>
      <c r="H189" s="45" t="s">
        <v>132</v>
      </c>
      <c r="I189" s="45">
        <v>6</v>
      </c>
      <c r="J189" s="45">
        <v>10</v>
      </c>
      <c r="K189" s="47">
        <f>(E181-2*$E$3+2*J189)*2+(F181-2*$E$3+2*J189)*2+2*1.9*J189+2*MAX(10*J189,75)</f>
        <v>1578</v>
      </c>
      <c r="L189" s="50">
        <f t="shared" si="3"/>
        <v>5.8417560000000002</v>
      </c>
      <c r="M189" s="189"/>
      <c r="N189" s="189"/>
      <c r="O189" s="189"/>
      <c r="P189" s="189"/>
      <c r="Q189" s="189"/>
    </row>
    <row r="190" spans="2:17" x14ac:dyDescent="0.15">
      <c r="B190" s="225"/>
      <c r="C190" s="209"/>
      <c r="D190" s="209">
        <v>1</v>
      </c>
      <c r="E190" s="209">
        <v>250</v>
      </c>
      <c r="F190" s="189">
        <v>500</v>
      </c>
      <c r="G190" s="189">
        <v>6000</v>
      </c>
      <c r="H190" s="45" t="s">
        <v>95</v>
      </c>
      <c r="I190" s="45">
        <v>4</v>
      </c>
      <c r="J190" s="45">
        <v>22</v>
      </c>
      <c r="K190" s="47">
        <f>G190/3+MAX($D$3*J190,0.4*$D$3*J190+15*J190,MAX(柱工程量计算!$E$3:$F$72)-$E$3+15*J190)</f>
        <v>2900</v>
      </c>
      <c r="L190" s="50">
        <f t="shared" si="3"/>
        <v>34.640848000000005</v>
      </c>
      <c r="M190" s="189">
        <f>(2*F190+E190)*G190/10^6</f>
        <v>7.5</v>
      </c>
      <c r="N190" s="189">
        <f>PRODUCT(E190:G198)/10^9</f>
        <v>0.75</v>
      </c>
      <c r="O190" s="189">
        <f>SUM(L190:L198)</f>
        <v>314.19476191999996</v>
      </c>
      <c r="P190" s="189"/>
      <c r="Q190" s="189">
        <v>1</v>
      </c>
    </row>
    <row r="191" spans="2:17" x14ac:dyDescent="0.15">
      <c r="B191" s="225"/>
      <c r="C191" s="209"/>
      <c r="D191" s="209"/>
      <c r="E191" s="209"/>
      <c r="F191" s="189"/>
      <c r="G191" s="189"/>
      <c r="H191" s="45" t="s">
        <v>97</v>
      </c>
      <c r="I191" s="45">
        <v>3</v>
      </c>
      <c r="J191" s="45">
        <v>22</v>
      </c>
      <c r="K191" s="47">
        <f>G190/4+MAX($D$3*J191,0.4*$D$3*J191+15*J191,MAX(柱工程量计算!$E$3:$F$72)-$E$3+15*J191)</f>
        <v>2400</v>
      </c>
      <c r="L191" s="50">
        <f t="shared" si="3"/>
        <v>21.501216000000003</v>
      </c>
      <c r="M191" s="189"/>
      <c r="N191" s="189"/>
      <c r="O191" s="189"/>
      <c r="P191" s="189"/>
      <c r="Q191" s="189"/>
    </row>
    <row r="192" spans="2:17" x14ac:dyDescent="0.15">
      <c r="B192" s="225"/>
      <c r="C192" s="209"/>
      <c r="D192" s="209"/>
      <c r="E192" s="209"/>
      <c r="F192" s="189"/>
      <c r="G192" s="189"/>
      <c r="H192" s="45" t="s">
        <v>98</v>
      </c>
      <c r="I192" s="45">
        <v>4</v>
      </c>
      <c r="J192" s="45">
        <v>22</v>
      </c>
      <c r="K192" s="47">
        <f>G190/3+MAX($D$3*J192,0.4*$D$3*J192+15*J192,MAX(柱工程量计算!$E$3:$F$72)-$E$3+15*J192)</f>
        <v>2900</v>
      </c>
      <c r="L192" s="50">
        <f t="shared" si="3"/>
        <v>34.640848000000005</v>
      </c>
      <c r="M192" s="189"/>
      <c r="N192" s="189"/>
      <c r="O192" s="189"/>
      <c r="P192" s="189"/>
      <c r="Q192" s="189"/>
    </row>
    <row r="193" spans="2:17" x14ac:dyDescent="0.15">
      <c r="B193" s="225"/>
      <c r="C193" s="209"/>
      <c r="D193" s="209"/>
      <c r="E193" s="209"/>
      <c r="F193" s="189"/>
      <c r="G193" s="189"/>
      <c r="H193" s="45" t="s">
        <v>99</v>
      </c>
      <c r="I193" s="45">
        <v>3</v>
      </c>
      <c r="J193" s="45">
        <v>22</v>
      </c>
      <c r="K193" s="47">
        <f>G190/4+MAX($D$3*J193,0.4*$D$3*J193+15*J193,MAX(柱工程量计算!$E$3:$F$72)-$E$3+15*J193)</f>
        <v>2400</v>
      </c>
      <c r="L193" s="50">
        <f t="shared" si="3"/>
        <v>21.501216000000003</v>
      </c>
      <c r="M193" s="189"/>
      <c r="N193" s="189"/>
      <c r="O193" s="189"/>
      <c r="P193" s="189"/>
      <c r="Q193" s="189"/>
    </row>
    <row r="194" spans="2:17" x14ac:dyDescent="0.15">
      <c r="B194" s="225"/>
      <c r="C194" s="209"/>
      <c r="D194" s="209"/>
      <c r="E194" s="209"/>
      <c r="F194" s="189"/>
      <c r="G194" s="189"/>
      <c r="H194" s="45" t="s">
        <v>121</v>
      </c>
      <c r="I194" s="45">
        <v>4</v>
      </c>
      <c r="J194" s="45">
        <v>22</v>
      </c>
      <c r="K194" s="47">
        <f>G190+2*IF((MAX(柱工程量计算!$E$3:$F$72)-$E$3)&gt;$D$3*J194,MAX($D$3*J194,0.5*MAX(柱工程量计算!$E$3:$F$72)+5*J194),MAX($D$3*J194,0.4*$D$3*J194+15*J194))</f>
        <v>7155</v>
      </c>
      <c r="L194" s="50">
        <f t="shared" si="3"/>
        <v>85.467333600000018</v>
      </c>
      <c r="M194" s="189"/>
      <c r="N194" s="189"/>
      <c r="O194" s="189"/>
      <c r="P194" s="189"/>
      <c r="Q194" s="189"/>
    </row>
    <row r="195" spans="2:17" x14ac:dyDescent="0.15">
      <c r="B195" s="225"/>
      <c r="C195" s="209"/>
      <c r="D195" s="209"/>
      <c r="E195" s="209"/>
      <c r="F195" s="189"/>
      <c r="G195" s="189"/>
      <c r="H195" s="45" t="s">
        <v>120</v>
      </c>
      <c r="I195" s="45">
        <v>3</v>
      </c>
      <c r="J195" s="45">
        <v>22</v>
      </c>
      <c r="K195" s="47">
        <f>G190+2*IF((MAX(柱工程量计算!$E$3:$F$72)-$E$3)&gt;$D$3*J195,MAX($D$3*J195,0.5*MAX(柱工程量计算!$E$3:$F$72)+5*J195),MAX($D$3*J195,0.4*$D$3*J195+15*J195))</f>
        <v>7155</v>
      </c>
      <c r="L195" s="50">
        <f t="shared" si="3"/>
        <v>64.100500200000013</v>
      </c>
      <c r="M195" s="189"/>
      <c r="N195" s="189"/>
      <c r="O195" s="189"/>
      <c r="P195" s="189"/>
      <c r="Q195" s="189"/>
    </row>
    <row r="196" spans="2:17" x14ac:dyDescent="0.15">
      <c r="B196" s="225"/>
      <c r="C196" s="209"/>
      <c r="D196" s="209"/>
      <c r="E196" s="209"/>
      <c r="F196" s="189"/>
      <c r="G196" s="189"/>
      <c r="H196" s="45" t="s">
        <v>107</v>
      </c>
      <c r="I196" s="45">
        <f>((G190-50*2)/200*2+1)*$I$6/2</f>
        <v>120</v>
      </c>
      <c r="J196" s="45">
        <f>IF(E190&lt;=350,6,8)</f>
        <v>6</v>
      </c>
      <c r="K196" s="47">
        <f>E190-2*$E$3+2*1.9*J196+2*MAX(10*J196,75)+2*J196</f>
        <v>374.8</v>
      </c>
      <c r="L196" s="50">
        <f t="shared" si="3"/>
        <v>9.9900691199999976</v>
      </c>
      <c r="M196" s="189"/>
      <c r="N196" s="189"/>
      <c r="O196" s="189"/>
      <c r="P196" s="189"/>
      <c r="Q196" s="189"/>
    </row>
    <row r="197" spans="2:17" x14ac:dyDescent="0.15">
      <c r="B197" s="225"/>
      <c r="C197" s="209"/>
      <c r="D197" s="209"/>
      <c r="E197" s="209"/>
      <c r="F197" s="189"/>
      <c r="G197" s="189"/>
      <c r="H197" s="45" t="s">
        <v>108</v>
      </c>
      <c r="I197" s="45">
        <f>2*((IF($B$3="一级",MAX(2*F190,500),MAX(1.5*F190,500))-50)/100+1)+(G190-2*IF($B$3="一级",MAX(2*F190,500),MAX(1.5*F190,500)))/200-1</f>
        <v>37.5</v>
      </c>
      <c r="J197" s="45">
        <v>10</v>
      </c>
      <c r="K197" s="45">
        <f>(E190-2*$E$3+2*J197)*2+(F190-2*$E$3+2*J197)*2+2*1.9*J197+2*MAX(10*J197,75)</f>
        <v>1578</v>
      </c>
      <c r="L197" s="50">
        <f t="shared" si="3"/>
        <v>36.510975000000002</v>
      </c>
      <c r="M197" s="189"/>
      <c r="N197" s="189"/>
      <c r="O197" s="189"/>
      <c r="P197" s="189"/>
      <c r="Q197" s="189"/>
    </row>
    <row r="198" spans="2:17" x14ac:dyDescent="0.15">
      <c r="B198" s="225"/>
      <c r="C198" s="209"/>
      <c r="D198" s="209"/>
      <c r="E198" s="209"/>
      <c r="F198" s="189"/>
      <c r="G198" s="189"/>
      <c r="H198" s="45" t="s">
        <v>132</v>
      </c>
      <c r="I198" s="45">
        <v>6</v>
      </c>
      <c r="J198" s="45">
        <v>10</v>
      </c>
      <c r="K198" s="47">
        <f>(E190-2*$E$3+2*J198)*2+(F190-2*$E$3+2*J198)*2+2*1.9*J198+2*MAX(10*J198,75)</f>
        <v>1578</v>
      </c>
      <c r="L198" s="50">
        <f t="shared" si="3"/>
        <v>5.8417560000000002</v>
      </c>
      <c r="M198" s="189"/>
      <c r="N198" s="189"/>
      <c r="O198" s="189"/>
      <c r="P198" s="189"/>
      <c r="Q198" s="189"/>
    </row>
    <row r="199" spans="2:17" x14ac:dyDescent="0.15">
      <c r="B199" s="225"/>
      <c r="C199" s="209"/>
      <c r="D199" s="209">
        <v>1</v>
      </c>
      <c r="E199" s="209">
        <v>250</v>
      </c>
      <c r="F199" s="189">
        <v>500</v>
      </c>
      <c r="G199" s="189">
        <v>6000</v>
      </c>
      <c r="H199" s="45" t="s">
        <v>95</v>
      </c>
      <c r="I199" s="45">
        <v>4</v>
      </c>
      <c r="J199" s="45">
        <v>22</v>
      </c>
      <c r="K199" s="47">
        <f>G199/3+MAX($D$3*J199,0.4*$D$3*J199+15*J199,MAX(柱工程量计算!$E$3:$F$72)-$E$3+15*J199)</f>
        <v>2900</v>
      </c>
      <c r="L199" s="50">
        <f t="shared" si="3"/>
        <v>34.640848000000005</v>
      </c>
      <c r="M199" s="189">
        <f>(2*F199+E199)*G199/10^6</f>
        <v>7.5</v>
      </c>
      <c r="N199" s="189">
        <f>PRODUCT(E199:G206)/10^9</f>
        <v>0.75</v>
      </c>
      <c r="O199" s="189">
        <f>SUM(L199:L206)</f>
        <v>221.56035632000004</v>
      </c>
      <c r="P199" s="189"/>
      <c r="Q199" s="189">
        <v>1</v>
      </c>
    </row>
    <row r="200" spans="2:17" x14ac:dyDescent="0.15">
      <c r="B200" s="225"/>
      <c r="C200" s="209"/>
      <c r="D200" s="209"/>
      <c r="E200" s="209"/>
      <c r="F200" s="189"/>
      <c r="G200" s="189"/>
      <c r="H200" s="45" t="s">
        <v>97</v>
      </c>
      <c r="I200" s="45">
        <v>3</v>
      </c>
      <c r="J200" s="45">
        <v>22</v>
      </c>
      <c r="K200" s="47">
        <f>G199/4+MAX($D$3*J200,0.4*$D$3*J200+15*J200,MAX(柱工程量计算!$E$3:$F$72)-$E$3+15*J200)</f>
        <v>2400</v>
      </c>
      <c r="L200" s="50">
        <f t="shared" si="3"/>
        <v>21.501216000000003</v>
      </c>
      <c r="M200" s="189"/>
      <c r="N200" s="189"/>
      <c r="O200" s="189"/>
      <c r="P200" s="189"/>
      <c r="Q200" s="189"/>
    </row>
    <row r="201" spans="2:17" x14ac:dyDescent="0.15">
      <c r="B201" s="225"/>
      <c r="C201" s="209"/>
      <c r="D201" s="209"/>
      <c r="E201" s="209"/>
      <c r="F201" s="189"/>
      <c r="G201" s="189"/>
      <c r="H201" s="45" t="s">
        <v>98</v>
      </c>
      <c r="I201" s="45">
        <v>4</v>
      </c>
      <c r="J201" s="45">
        <v>22</v>
      </c>
      <c r="K201" s="47">
        <f>G199/3+MAX($D$3*J201,0.4*$D$3*J201+15*J201,MAX(柱工程量计算!$E$3:$F$72)-$E$3+15*J201)</f>
        <v>2900</v>
      </c>
      <c r="L201" s="50">
        <f t="shared" si="3"/>
        <v>34.640848000000005</v>
      </c>
      <c r="M201" s="189"/>
      <c r="N201" s="189"/>
      <c r="O201" s="189"/>
      <c r="P201" s="189"/>
      <c r="Q201" s="189"/>
    </row>
    <row r="202" spans="2:17" x14ac:dyDescent="0.15">
      <c r="B202" s="225"/>
      <c r="C202" s="209"/>
      <c r="D202" s="209"/>
      <c r="E202" s="209"/>
      <c r="F202" s="189"/>
      <c r="G202" s="189"/>
      <c r="H202" s="45" t="s">
        <v>99</v>
      </c>
      <c r="I202" s="45">
        <v>2</v>
      </c>
      <c r="J202" s="45">
        <v>22</v>
      </c>
      <c r="K202" s="47">
        <f>G199/4+MAX($D$3*J202,0.4*$D$3*J202+15*J202,MAX(柱工程量计算!$E$3:$F$72)-$E$3+15*J202)</f>
        <v>2400</v>
      </c>
      <c r="L202" s="50">
        <f t="shared" si="3"/>
        <v>14.334144000000002</v>
      </c>
      <c r="M202" s="189"/>
      <c r="N202" s="189"/>
      <c r="O202" s="189"/>
      <c r="P202" s="189"/>
      <c r="Q202" s="189"/>
    </row>
    <row r="203" spans="2:17" x14ac:dyDescent="0.15">
      <c r="B203" s="225"/>
      <c r="C203" s="209"/>
      <c r="D203" s="209"/>
      <c r="E203" s="209"/>
      <c r="F203" s="189"/>
      <c r="G203" s="189"/>
      <c r="H203" s="45" t="s">
        <v>120</v>
      </c>
      <c r="I203" s="45">
        <v>3</v>
      </c>
      <c r="J203" s="45">
        <v>22</v>
      </c>
      <c r="K203" s="47">
        <f>G199+2*IF((MAX(柱工程量计算!$E$3:$F$72)-$E$3)&gt;$D$3*J203,MAX($D$3*J203,0.5*MAX(柱工程量计算!$E$3:$F$72)+5*J203),MAX($D$3*J203,0.4*$D$3*J203+15*J203))</f>
        <v>7155</v>
      </c>
      <c r="L203" s="50">
        <f t="shared" si="3"/>
        <v>64.100500200000013</v>
      </c>
      <c r="M203" s="189"/>
      <c r="N203" s="189"/>
      <c r="O203" s="189"/>
      <c r="P203" s="189"/>
      <c r="Q203" s="189"/>
    </row>
    <row r="204" spans="2:17" x14ac:dyDescent="0.15">
      <c r="B204" s="225"/>
      <c r="C204" s="209"/>
      <c r="D204" s="209"/>
      <c r="E204" s="209"/>
      <c r="F204" s="189"/>
      <c r="G204" s="189"/>
      <c r="H204" s="45" t="s">
        <v>107</v>
      </c>
      <c r="I204" s="45">
        <f>((G199-50*2)/200*2+1)*$I$6/2</f>
        <v>120</v>
      </c>
      <c r="J204" s="45">
        <f>IF(E199&lt;=350,6,8)</f>
        <v>6</v>
      </c>
      <c r="K204" s="47">
        <f>E199-2*$E$3+2*1.9*J204+2*MAX(10*J204,75)+2*J204</f>
        <v>374.8</v>
      </c>
      <c r="L204" s="50">
        <f t="shared" si="3"/>
        <v>9.9900691199999976</v>
      </c>
      <c r="M204" s="189"/>
      <c r="N204" s="189"/>
      <c r="O204" s="189"/>
      <c r="P204" s="189"/>
      <c r="Q204" s="189"/>
    </row>
    <row r="205" spans="2:17" x14ac:dyDescent="0.15">
      <c r="B205" s="225"/>
      <c r="C205" s="209"/>
      <c r="D205" s="209"/>
      <c r="E205" s="209"/>
      <c r="F205" s="189"/>
      <c r="G205" s="189"/>
      <c r="H205" s="45" t="s">
        <v>108</v>
      </c>
      <c r="I205" s="45">
        <f>2*((IF($B$3="一级",MAX(2*F199,500),MAX(1.5*F199,500))-50)/100+1)+(G199-2*IF($B$3="一级",MAX(2*F199,500),MAX(1.5*F199,500)))/200-1</f>
        <v>37.5</v>
      </c>
      <c r="J205" s="45">
        <v>10</v>
      </c>
      <c r="K205" s="45">
        <f>(E199-2*$E$3+2*J205)*2+(F199-2*$E$3+2*J205)*2+2*1.9*J205+2*MAX(10*J205,75)</f>
        <v>1578</v>
      </c>
      <c r="L205" s="50">
        <f t="shared" si="3"/>
        <v>36.510975000000002</v>
      </c>
      <c r="M205" s="189"/>
      <c r="N205" s="189"/>
      <c r="O205" s="189"/>
      <c r="P205" s="189"/>
      <c r="Q205" s="189"/>
    </row>
    <row r="206" spans="2:17" x14ac:dyDescent="0.15">
      <c r="B206" s="225"/>
      <c r="C206" s="209"/>
      <c r="D206" s="209"/>
      <c r="E206" s="209"/>
      <c r="F206" s="189"/>
      <c r="G206" s="189"/>
      <c r="H206" s="45" t="s">
        <v>132</v>
      </c>
      <c r="I206" s="45">
        <v>6</v>
      </c>
      <c r="J206" s="45">
        <v>10</v>
      </c>
      <c r="K206" s="47">
        <f>(E199-2*$E$3+2*J206)*2+(F199-2*$E$3+2*J206)*2+2*1.9*J206+2*MAX(10*J206,75)</f>
        <v>1578</v>
      </c>
      <c r="L206" s="50">
        <f t="shared" ref="L206:L269" si="4">I206*(J206/10)^2*0.617*K206/1000</f>
        <v>5.8417560000000002</v>
      </c>
      <c r="M206" s="189"/>
      <c r="N206" s="189"/>
      <c r="O206" s="189"/>
      <c r="P206" s="189"/>
      <c r="Q206" s="189"/>
    </row>
    <row r="207" spans="2:17" x14ac:dyDescent="0.15">
      <c r="B207" s="225"/>
      <c r="C207" s="209"/>
      <c r="D207" s="209">
        <v>1</v>
      </c>
      <c r="E207" s="209">
        <v>250</v>
      </c>
      <c r="F207" s="189">
        <v>500</v>
      </c>
      <c r="G207" s="189">
        <v>6000</v>
      </c>
      <c r="H207" s="45" t="s">
        <v>95</v>
      </c>
      <c r="I207" s="45">
        <v>4</v>
      </c>
      <c r="J207" s="45">
        <v>22</v>
      </c>
      <c r="K207" s="47">
        <f>G207/3+MAX($D$3*J207,0.4*$D$3*J207+15*J207,MAX(柱工程量计算!$E$3:$F$72)-$E$3+15*J207)</f>
        <v>2900</v>
      </c>
      <c r="L207" s="50">
        <f t="shared" si="4"/>
        <v>34.640848000000005</v>
      </c>
      <c r="M207" s="189">
        <f>(2*F207+E207)*G207/10^6</f>
        <v>7.5</v>
      </c>
      <c r="N207" s="189">
        <f>PRODUCT(E207:G214)/10^9</f>
        <v>0.75</v>
      </c>
      <c r="O207" s="189">
        <f>SUM(L207:L214)</f>
        <v>219.44176095200004</v>
      </c>
      <c r="P207" s="189"/>
      <c r="Q207" s="189">
        <v>1</v>
      </c>
    </row>
    <row r="208" spans="2:17" x14ac:dyDescent="0.15">
      <c r="B208" s="225"/>
      <c r="C208" s="209"/>
      <c r="D208" s="209"/>
      <c r="E208" s="209"/>
      <c r="F208" s="189"/>
      <c r="G208" s="189"/>
      <c r="H208" s="45" t="s">
        <v>97</v>
      </c>
      <c r="I208" s="45">
        <v>2</v>
      </c>
      <c r="J208" s="45">
        <v>22</v>
      </c>
      <c r="K208" s="47">
        <f>G207/4+MAX($D$3*J208,0.4*$D$3*J208+15*J208,MAX(柱工程量计算!$E$3:$F$72)-$E$3+15*J208)</f>
        <v>2400</v>
      </c>
      <c r="L208" s="50">
        <f t="shared" si="4"/>
        <v>14.334144000000002</v>
      </c>
      <c r="M208" s="189"/>
      <c r="N208" s="189"/>
      <c r="O208" s="189"/>
      <c r="P208" s="189"/>
      <c r="Q208" s="189"/>
    </row>
    <row r="209" spans="2:17" x14ac:dyDescent="0.15">
      <c r="B209" s="225"/>
      <c r="C209" s="209"/>
      <c r="D209" s="209"/>
      <c r="E209" s="209"/>
      <c r="F209" s="189"/>
      <c r="G209" s="189"/>
      <c r="H209" s="45" t="s">
        <v>98</v>
      </c>
      <c r="I209" s="45">
        <v>4</v>
      </c>
      <c r="J209" s="45">
        <v>22</v>
      </c>
      <c r="K209" s="47">
        <f>G207/3+MAX($D$3*J209,0.4*$D$3*J209+15*J209,MAX(柱工程量计算!$E$3:$F$72)-$E$3+15*J209)</f>
        <v>2900</v>
      </c>
      <c r="L209" s="50">
        <f t="shared" si="4"/>
        <v>34.640848000000005</v>
      </c>
      <c r="M209" s="189"/>
      <c r="N209" s="189"/>
      <c r="O209" s="189"/>
      <c r="P209" s="189"/>
      <c r="Q209" s="189"/>
    </row>
    <row r="210" spans="2:17" x14ac:dyDescent="0.15">
      <c r="B210" s="225"/>
      <c r="C210" s="209"/>
      <c r="D210" s="209"/>
      <c r="E210" s="209"/>
      <c r="F210" s="189"/>
      <c r="G210" s="189"/>
      <c r="H210" s="45" t="s">
        <v>99</v>
      </c>
      <c r="I210" s="45">
        <v>2</v>
      </c>
      <c r="J210" s="45">
        <v>22</v>
      </c>
      <c r="K210" s="47">
        <f>G207/4+MAX($D$3*J210,0.4*$D$3*J210+15*J210,MAX(柱工程量计算!$E$3:$F$72)-$E$3+15*J210)</f>
        <v>2400</v>
      </c>
      <c r="L210" s="50">
        <f t="shared" si="4"/>
        <v>14.334144000000002</v>
      </c>
      <c r="M210" s="189"/>
      <c r="N210" s="189"/>
      <c r="O210" s="189"/>
      <c r="P210" s="189"/>
      <c r="Q210" s="189"/>
    </row>
    <row r="211" spans="2:17" x14ac:dyDescent="0.15">
      <c r="B211" s="225"/>
      <c r="C211" s="209"/>
      <c r="D211" s="209"/>
      <c r="E211" s="209"/>
      <c r="F211" s="189"/>
      <c r="G211" s="189"/>
      <c r="H211" s="45" t="s">
        <v>120</v>
      </c>
      <c r="I211" s="45">
        <v>3</v>
      </c>
      <c r="J211" s="45">
        <v>22</v>
      </c>
      <c r="K211" s="47">
        <f>G207+2*IF((MAX(柱工程量计算!$E$3:$F$72)-$E$3)&gt;$D$3*J211,MAX($D$3*J211,0.5*MAX(柱工程量计算!$E$3:$F$72)+5*J211),MAX($D$3*J211,0.4*$D$3*J211+15*J211))</f>
        <v>7155</v>
      </c>
      <c r="L211" s="50">
        <f t="shared" si="4"/>
        <v>64.100500200000013</v>
      </c>
      <c r="M211" s="189"/>
      <c r="N211" s="189"/>
      <c r="O211" s="189"/>
      <c r="P211" s="189"/>
      <c r="Q211" s="189"/>
    </row>
    <row r="212" spans="2:17" x14ac:dyDescent="0.15">
      <c r="B212" s="225"/>
      <c r="C212" s="209"/>
      <c r="D212" s="209"/>
      <c r="E212" s="209"/>
      <c r="F212" s="189"/>
      <c r="G212" s="189"/>
      <c r="H212" s="45" t="s">
        <v>107</v>
      </c>
      <c r="I212" s="45">
        <f>((G207-50*2)/200*2+1)*$I$6/2</f>
        <v>120</v>
      </c>
      <c r="J212" s="45">
        <f>IF(E207&lt;=350,6,8)</f>
        <v>6</v>
      </c>
      <c r="K212" s="47">
        <f>E207-2*$E$3+2*1.9*J212+2*MAX(10*J212,75)+2*J212</f>
        <v>374.8</v>
      </c>
      <c r="L212" s="50">
        <f t="shared" si="4"/>
        <v>9.9900691199999976</v>
      </c>
      <c r="M212" s="189"/>
      <c r="N212" s="189"/>
      <c r="O212" s="189"/>
      <c r="P212" s="189"/>
      <c r="Q212" s="189"/>
    </row>
    <row r="213" spans="2:17" x14ac:dyDescent="0.15">
      <c r="B213" s="225"/>
      <c r="C213" s="209"/>
      <c r="D213" s="209"/>
      <c r="E213" s="209"/>
      <c r="F213" s="189"/>
      <c r="G213" s="189"/>
      <c r="H213" s="45" t="s">
        <v>108</v>
      </c>
      <c r="I213" s="45">
        <f>2*((IF($B$3="一级",MAX(2*F207,500),MAX(1.5*F207,500))-50)/100+1)+(G207-2*IF($B$3="一级",MAX(2*F207,500),MAX(1.5*F207,500)))/150-1</f>
        <v>45</v>
      </c>
      <c r="J213" s="45">
        <v>10</v>
      </c>
      <c r="K213" s="45">
        <f>(E207-2*$E$3+2*J213)*2+(F207-2*$E$3+2*J213)*2+2*1.9*J213+2*MAX(10*J213,75)</f>
        <v>1578</v>
      </c>
      <c r="L213" s="50">
        <f t="shared" si="4"/>
        <v>43.81317</v>
      </c>
      <c r="M213" s="189"/>
      <c r="N213" s="189"/>
      <c r="O213" s="189"/>
      <c r="P213" s="189"/>
      <c r="Q213" s="189"/>
    </row>
    <row r="214" spans="2:17" x14ac:dyDescent="0.15">
      <c r="B214" s="225"/>
      <c r="C214" s="209"/>
      <c r="D214" s="209"/>
      <c r="E214" s="209"/>
      <c r="F214" s="189"/>
      <c r="G214" s="189"/>
      <c r="H214" s="45" t="s">
        <v>132</v>
      </c>
      <c r="I214" s="45">
        <v>6</v>
      </c>
      <c r="J214" s="45">
        <v>8</v>
      </c>
      <c r="K214" s="47">
        <f>(E207-2*$E$3+2*J214)*2+(F207-2*$E$3+2*J214)*2+2*1.9*J214+2*MAX(10*J214,75)</f>
        <v>1514.4</v>
      </c>
      <c r="L214" s="50">
        <f t="shared" si="4"/>
        <v>3.5880376320000007</v>
      </c>
      <c r="M214" s="189"/>
      <c r="N214" s="189"/>
      <c r="O214" s="189"/>
      <c r="P214" s="189"/>
      <c r="Q214" s="189"/>
    </row>
    <row r="215" spans="2:17" x14ac:dyDescent="0.15">
      <c r="B215" s="225"/>
      <c r="C215" s="209" t="s">
        <v>133</v>
      </c>
      <c r="D215" s="218" t="s">
        <v>106</v>
      </c>
      <c r="E215" s="219"/>
      <c r="F215" s="218">
        <v>42600</v>
      </c>
      <c r="G215" s="219"/>
      <c r="H215" s="45" t="s">
        <v>103</v>
      </c>
      <c r="I215" s="45">
        <v>2</v>
      </c>
      <c r="J215" s="45">
        <v>22</v>
      </c>
      <c r="K215" s="47">
        <f>F215+2*IF((MAX(柱工程量计算!$E$3:$F$72)-$E$3)&gt;$D$3*J215,MAX($D$3*J215,0.5*MAX(柱工程量计算!$E$3:$F$72)+5*J215,MAX($D$3*J215,0.4*$D$3*J215+15*J215)))</f>
        <v>42600</v>
      </c>
      <c r="L215" s="50">
        <f t="shared" si="4"/>
        <v>254.43105600000001</v>
      </c>
      <c r="M215" s="189">
        <f>(2*F217+E217)*G217/10^6</f>
        <v>7.5</v>
      </c>
      <c r="N215" s="189">
        <f>PRODUCT(E217:G224)/10^9</f>
        <v>0.75</v>
      </c>
      <c r="O215" s="189">
        <f>SUM(L215:L224)</f>
        <v>665.57272034000016</v>
      </c>
      <c r="P215" s="189">
        <v>1</v>
      </c>
      <c r="Q215" s="189"/>
    </row>
    <row r="216" spans="2:17" x14ac:dyDescent="0.15">
      <c r="B216" s="225"/>
      <c r="C216" s="209"/>
      <c r="D216" s="223"/>
      <c r="E216" s="224"/>
      <c r="F216" s="223"/>
      <c r="G216" s="224"/>
      <c r="H216" s="45" t="s">
        <v>100</v>
      </c>
      <c r="I216" s="45">
        <v>4</v>
      </c>
      <c r="J216" s="45">
        <v>12</v>
      </c>
      <c r="K216" s="47">
        <f>IF(F217&gt;=450,F215+2*IF((MAX(柱工程量计算!$E$3:$F$72)-$E$3)&gt;$D$3*J216,MAX($D$3*J216,0.5*MAX(柱工程量计算!$E$3:$F$72)+5*J216),MAX($D$3*J216,0.4*$D$3*J216+15*J216)),F215+15*J216)</f>
        <v>43320</v>
      </c>
      <c r="L216" s="50">
        <f t="shared" si="4"/>
        <v>153.95581440000001</v>
      </c>
      <c r="M216" s="189"/>
      <c r="N216" s="189"/>
      <c r="O216" s="189"/>
      <c r="P216" s="189"/>
      <c r="Q216" s="189"/>
    </row>
    <row r="217" spans="2:17" x14ac:dyDescent="0.15">
      <c r="B217" s="225"/>
      <c r="C217" s="209"/>
      <c r="D217" s="209">
        <v>1</v>
      </c>
      <c r="E217" s="209">
        <v>250</v>
      </c>
      <c r="F217" s="189">
        <v>500</v>
      </c>
      <c r="G217" s="189">
        <v>6000</v>
      </c>
      <c r="H217" s="45" t="s">
        <v>95</v>
      </c>
      <c r="I217" s="45">
        <v>4</v>
      </c>
      <c r="J217" s="45">
        <v>22</v>
      </c>
      <c r="K217" s="47">
        <f>G217/3+MAX($D$3*J217,0.4*$D$3*J217+15*J217,MAX(柱工程量计算!$E$3:$F$72)-$E$3+15*J217)</f>
        <v>2900</v>
      </c>
      <c r="L217" s="50">
        <f t="shared" si="4"/>
        <v>34.640848000000005</v>
      </c>
      <c r="M217" s="189"/>
      <c r="N217" s="189"/>
      <c r="O217" s="189"/>
      <c r="P217" s="189"/>
      <c r="Q217" s="189"/>
    </row>
    <row r="218" spans="2:17" x14ac:dyDescent="0.15">
      <c r="B218" s="225"/>
      <c r="C218" s="209"/>
      <c r="D218" s="209"/>
      <c r="E218" s="209"/>
      <c r="F218" s="189"/>
      <c r="G218" s="189"/>
      <c r="H218" s="45" t="s">
        <v>97</v>
      </c>
      <c r="I218" s="45">
        <v>2</v>
      </c>
      <c r="J218" s="45">
        <v>20</v>
      </c>
      <c r="K218" s="47">
        <f>G217/4+MAX($D$3*J218,0.4*$D$3*J218+15*J218,MAX(柱工程量计算!$E$3:$F$72)-$E$3+15*J218)</f>
        <v>2370</v>
      </c>
      <c r="L218" s="50">
        <f t="shared" si="4"/>
        <v>11.698319999999999</v>
      </c>
      <c r="M218" s="189"/>
      <c r="N218" s="189"/>
      <c r="O218" s="189"/>
      <c r="P218" s="189"/>
      <c r="Q218" s="189"/>
    </row>
    <row r="219" spans="2:17" x14ac:dyDescent="0.15">
      <c r="B219" s="225"/>
      <c r="C219" s="209"/>
      <c r="D219" s="209"/>
      <c r="E219" s="209"/>
      <c r="F219" s="189"/>
      <c r="G219" s="189"/>
      <c r="H219" s="45" t="s">
        <v>98</v>
      </c>
      <c r="I219" s="45">
        <v>4</v>
      </c>
      <c r="J219" s="45">
        <v>22</v>
      </c>
      <c r="K219" s="47">
        <f>G217/3+MAX($D$3*J219,0.4*$D$3*J219+15*J219,MAX(柱工程量计算!$E$3:$F$72)-$E$3+15*J219)</f>
        <v>2900</v>
      </c>
      <c r="L219" s="50">
        <f t="shared" si="4"/>
        <v>34.640848000000005</v>
      </c>
      <c r="M219" s="189"/>
      <c r="N219" s="189"/>
      <c r="O219" s="189"/>
      <c r="P219" s="189"/>
      <c r="Q219" s="189"/>
    </row>
    <row r="220" spans="2:17" x14ac:dyDescent="0.15">
      <c r="B220" s="225"/>
      <c r="C220" s="209"/>
      <c r="D220" s="209"/>
      <c r="E220" s="209"/>
      <c r="F220" s="189"/>
      <c r="G220" s="189"/>
      <c r="H220" s="45" t="s">
        <v>99</v>
      </c>
      <c r="I220" s="45">
        <v>2</v>
      </c>
      <c r="J220" s="45">
        <v>20</v>
      </c>
      <c r="K220" s="47">
        <f>G217/4+MAX($D$3*J220,0.4*$D$3*J220+15*J220,MAX(柱工程量计算!$E$3:$F$72)-$E$3+15*J220)</f>
        <v>2370</v>
      </c>
      <c r="L220" s="50">
        <f t="shared" si="4"/>
        <v>11.698319999999999</v>
      </c>
      <c r="M220" s="189"/>
      <c r="N220" s="189"/>
      <c r="O220" s="189"/>
      <c r="P220" s="189"/>
      <c r="Q220" s="189"/>
    </row>
    <row r="221" spans="2:17" x14ac:dyDescent="0.15">
      <c r="B221" s="225"/>
      <c r="C221" s="209"/>
      <c r="D221" s="209"/>
      <c r="E221" s="209"/>
      <c r="F221" s="189"/>
      <c r="G221" s="189"/>
      <c r="H221" s="45" t="s">
        <v>130</v>
      </c>
      <c r="I221" s="45">
        <v>4</v>
      </c>
      <c r="J221" s="45">
        <v>25</v>
      </c>
      <c r="K221" s="47">
        <f>G217+2*IF((MAX(柱工程量计算!$E$3:$F$72)-$E$3)&gt;$D$3*J221,MAX($D$3*J221,0.5*MAX(柱工程量计算!$E$3:$F$72)+5*J221),MAX($D$3*J221,0.4*$D$3*J221+15*J221))</f>
        <v>7312.5</v>
      </c>
      <c r="L221" s="50">
        <f t="shared" si="4"/>
        <v>112.79531249999999</v>
      </c>
      <c r="M221" s="189"/>
      <c r="N221" s="189"/>
      <c r="O221" s="189"/>
      <c r="P221" s="189"/>
      <c r="Q221" s="189"/>
    </row>
    <row r="222" spans="2:17" x14ac:dyDescent="0.15">
      <c r="B222" s="225"/>
      <c r="C222" s="209"/>
      <c r="D222" s="209"/>
      <c r="E222" s="209"/>
      <c r="F222" s="189"/>
      <c r="G222" s="189"/>
      <c r="H222" s="45" t="s">
        <v>107</v>
      </c>
      <c r="I222" s="45">
        <f>((G217-50*2)/200*2+1)*$I$6/2</f>
        <v>120</v>
      </c>
      <c r="J222" s="45">
        <f>IF(E217&lt;=350,6,8)</f>
        <v>6</v>
      </c>
      <c r="K222" s="47">
        <f>E217-2*$E$3+2*1.9*J222+2*MAX(10*J222,75)+2*J222</f>
        <v>374.8</v>
      </c>
      <c r="L222" s="50">
        <f t="shared" si="4"/>
        <v>9.9900691199999976</v>
      </c>
      <c r="M222" s="189"/>
      <c r="N222" s="189"/>
      <c r="O222" s="189"/>
      <c r="P222" s="189"/>
      <c r="Q222" s="189"/>
    </row>
    <row r="223" spans="2:17" x14ac:dyDescent="0.15">
      <c r="B223" s="225"/>
      <c r="C223" s="209"/>
      <c r="D223" s="209"/>
      <c r="E223" s="209"/>
      <c r="F223" s="189"/>
      <c r="G223" s="189"/>
      <c r="H223" s="45" t="s">
        <v>108</v>
      </c>
      <c r="I223" s="45">
        <f>2*((IF($B$3="一级",MAX(2*F217,500),MAX(1.5*F217,500))-50)/100+1)+(G217-2*IF($B$3="一级",MAX(2*F217,500),MAX(1.5*F217,500)))/100-1</f>
        <v>60</v>
      </c>
      <c r="J223" s="45">
        <v>8</v>
      </c>
      <c r="K223" s="45">
        <f>(E217-2*$E$3+2*J223)*2+(F217-2*$E$3+2*J223)*2+2*1.9*J223+2*MAX(10*J223,75)</f>
        <v>1514.4</v>
      </c>
      <c r="L223" s="50">
        <f t="shared" si="4"/>
        <v>35.880376320000003</v>
      </c>
      <c r="M223" s="189"/>
      <c r="N223" s="189"/>
      <c r="O223" s="189"/>
      <c r="P223" s="189"/>
      <c r="Q223" s="189"/>
    </row>
    <row r="224" spans="2:17" x14ac:dyDescent="0.15">
      <c r="B224" s="225"/>
      <c r="C224" s="209"/>
      <c r="D224" s="209"/>
      <c r="E224" s="209"/>
      <c r="F224" s="189"/>
      <c r="G224" s="189"/>
      <c r="H224" s="45" t="s">
        <v>132</v>
      </c>
      <c r="I224" s="45">
        <v>6</v>
      </c>
      <c r="J224" s="45">
        <v>10</v>
      </c>
      <c r="K224" s="47">
        <f>(E217-2*$E$3+2*J224)*2+(F217-2*$E$3+2*J224)*2+2*1.9*J224+2*MAX(10*J224,75)</f>
        <v>1578</v>
      </c>
      <c r="L224" s="50">
        <f t="shared" si="4"/>
        <v>5.8417560000000002</v>
      </c>
      <c r="M224" s="189"/>
      <c r="N224" s="189"/>
      <c r="O224" s="189"/>
      <c r="P224" s="189"/>
      <c r="Q224" s="189"/>
    </row>
    <row r="225" spans="2:17" x14ac:dyDescent="0.15">
      <c r="B225" s="225"/>
      <c r="C225" s="209"/>
      <c r="D225" s="209">
        <v>2</v>
      </c>
      <c r="E225" s="209">
        <v>250</v>
      </c>
      <c r="F225" s="189">
        <v>500</v>
      </c>
      <c r="G225" s="189">
        <v>6000</v>
      </c>
      <c r="H225" s="45" t="s">
        <v>95</v>
      </c>
      <c r="I225" s="45">
        <v>4</v>
      </c>
      <c r="J225" s="45">
        <v>22</v>
      </c>
      <c r="K225" s="47">
        <f>G225/3+MAX($D$3*J225,0.4*$D$3*J225+15*J225,MAX(柱工程量计算!$E$3:$F$72)-$E$3+15*J225)</f>
        <v>2900</v>
      </c>
      <c r="L225" s="50">
        <f t="shared" si="4"/>
        <v>34.640848000000005</v>
      </c>
      <c r="M225" s="189">
        <f>(2*F225+E225)*G225/10^6</f>
        <v>7.5</v>
      </c>
      <c r="N225" s="189">
        <f>PRODUCT(E225:G232)/10^9</f>
        <v>0.75</v>
      </c>
      <c r="O225" s="189">
        <f>SUM(L225:L232)</f>
        <v>265.11864361999994</v>
      </c>
      <c r="P225" s="189">
        <v>2</v>
      </c>
      <c r="Q225" s="189"/>
    </row>
    <row r="226" spans="2:17" x14ac:dyDescent="0.15">
      <c r="B226" s="225"/>
      <c r="C226" s="209"/>
      <c r="D226" s="209"/>
      <c r="E226" s="209"/>
      <c r="F226" s="189"/>
      <c r="G226" s="189"/>
      <c r="H226" s="45" t="s">
        <v>97</v>
      </c>
      <c r="I226" s="45">
        <v>2</v>
      </c>
      <c r="J226" s="45">
        <v>20</v>
      </c>
      <c r="K226" s="47">
        <f>G225/4+MAX($D$3*J226,0.4*$D$3*J226+15*J226,MAX(柱工程量计算!$E$3:$F$72)-$E$3+15*J226)</f>
        <v>2370</v>
      </c>
      <c r="L226" s="50">
        <f t="shared" si="4"/>
        <v>11.698319999999999</v>
      </c>
      <c r="M226" s="189"/>
      <c r="N226" s="189"/>
      <c r="O226" s="189"/>
      <c r="P226" s="189"/>
      <c r="Q226" s="189"/>
    </row>
    <row r="227" spans="2:17" x14ac:dyDescent="0.15">
      <c r="B227" s="225"/>
      <c r="C227" s="209"/>
      <c r="D227" s="209"/>
      <c r="E227" s="209"/>
      <c r="F227" s="189"/>
      <c r="G227" s="189"/>
      <c r="H227" s="45" t="s">
        <v>98</v>
      </c>
      <c r="I227" s="45">
        <v>4</v>
      </c>
      <c r="J227" s="45">
        <v>22</v>
      </c>
      <c r="K227" s="47">
        <f>G225/3+MAX($D$3*J227,0.4*$D$3*J227+15*J227,MAX(柱工程量计算!$E$3:$F$72)-$E$3+15*J227)</f>
        <v>2900</v>
      </c>
      <c r="L227" s="50">
        <f t="shared" si="4"/>
        <v>34.640848000000005</v>
      </c>
      <c r="M227" s="189"/>
      <c r="N227" s="189"/>
      <c r="O227" s="189"/>
      <c r="P227" s="189"/>
      <c r="Q227" s="189"/>
    </row>
    <row r="228" spans="2:17" x14ac:dyDescent="0.15">
      <c r="B228" s="225"/>
      <c r="C228" s="209"/>
      <c r="D228" s="209"/>
      <c r="E228" s="209"/>
      <c r="F228" s="189"/>
      <c r="G228" s="189"/>
      <c r="H228" s="45" t="s">
        <v>99</v>
      </c>
      <c r="I228" s="45">
        <v>2</v>
      </c>
      <c r="J228" s="45">
        <v>20</v>
      </c>
      <c r="K228" s="47">
        <f>G225/4+MAX($D$3*J228,0.4*$D$3*J228+15*J228,MAX(柱工程量计算!$E$3:$F$72)-$E$3+15*J228)</f>
        <v>2370</v>
      </c>
      <c r="L228" s="50">
        <f t="shared" si="4"/>
        <v>11.698319999999999</v>
      </c>
      <c r="M228" s="189"/>
      <c r="N228" s="189"/>
      <c r="O228" s="189"/>
      <c r="P228" s="189"/>
      <c r="Q228" s="189"/>
    </row>
    <row r="229" spans="2:17" x14ac:dyDescent="0.15">
      <c r="B229" s="225"/>
      <c r="C229" s="209"/>
      <c r="D229" s="209"/>
      <c r="E229" s="209"/>
      <c r="F229" s="189"/>
      <c r="G229" s="189"/>
      <c r="H229" s="45" t="s">
        <v>121</v>
      </c>
      <c r="I229" s="45">
        <v>4</v>
      </c>
      <c r="J229" s="45">
        <v>25</v>
      </c>
      <c r="K229" s="47">
        <f>G225+2*IF((MAX(柱工程量计算!$E$3:$F$72)-$E$3)&gt;$D$3*J229,MAX($D$3*J229,0.5*MAX(柱工程量计算!$E$3:$F$72)+5*J229),MAX($D$3*J229,0.4*$D$3*J229+15*J229))</f>
        <v>7312.5</v>
      </c>
      <c r="L229" s="50">
        <f t="shared" si="4"/>
        <v>112.79531249999999</v>
      </c>
      <c r="M229" s="189"/>
      <c r="N229" s="189"/>
      <c r="O229" s="189"/>
      <c r="P229" s="189"/>
      <c r="Q229" s="189"/>
    </row>
    <row r="230" spans="2:17" x14ac:dyDescent="0.15">
      <c r="B230" s="225"/>
      <c r="C230" s="209"/>
      <c r="D230" s="209"/>
      <c r="E230" s="209"/>
      <c r="F230" s="189"/>
      <c r="G230" s="189"/>
      <c r="H230" s="45" t="s">
        <v>107</v>
      </c>
      <c r="I230" s="45">
        <f>((G225-50*2)/200*2+1)*$I$6/2</f>
        <v>120</v>
      </c>
      <c r="J230" s="45">
        <f>IF(E225&lt;=350,6,8)</f>
        <v>6</v>
      </c>
      <c r="K230" s="47">
        <f>E225-2*$E$3+2*1.9*J230+2*MAX(10*J230,75)+2*J230</f>
        <v>374.8</v>
      </c>
      <c r="L230" s="50">
        <f t="shared" si="4"/>
        <v>9.9900691199999976</v>
      </c>
      <c r="M230" s="189"/>
      <c r="N230" s="189"/>
      <c r="O230" s="189"/>
      <c r="P230" s="189"/>
      <c r="Q230" s="189"/>
    </row>
    <row r="231" spans="2:17" x14ac:dyDescent="0.15">
      <c r="B231" s="225"/>
      <c r="C231" s="209"/>
      <c r="D231" s="209"/>
      <c r="E231" s="209"/>
      <c r="F231" s="189"/>
      <c r="G231" s="189"/>
      <c r="H231" s="45" t="s">
        <v>108</v>
      </c>
      <c r="I231" s="45">
        <f>2*((IF($B$3="一级",MAX(2*F225,500),MAX(1.5*F225,500))-50)/100+1)+(G225-2*IF($B$3="一级",MAX(2*F225,500),MAX(1.5*F225,500)))/150-1</f>
        <v>45</v>
      </c>
      <c r="J231" s="45">
        <v>10</v>
      </c>
      <c r="K231" s="45">
        <f>(E225-2*$E$3+2*J231)*2+(F225-2*$E$3+2*J231)*2+2*1.9*J231+2*MAX(10*J231,75)</f>
        <v>1578</v>
      </c>
      <c r="L231" s="50">
        <f t="shared" si="4"/>
        <v>43.81317</v>
      </c>
      <c r="M231" s="189"/>
      <c r="N231" s="189"/>
      <c r="O231" s="189"/>
      <c r="P231" s="189"/>
      <c r="Q231" s="189"/>
    </row>
    <row r="232" spans="2:17" x14ac:dyDescent="0.15">
      <c r="B232" s="225"/>
      <c r="C232" s="209"/>
      <c r="D232" s="209"/>
      <c r="E232" s="209"/>
      <c r="F232" s="189"/>
      <c r="G232" s="189"/>
      <c r="H232" s="45" t="s">
        <v>132</v>
      </c>
      <c r="I232" s="45">
        <v>6</v>
      </c>
      <c r="J232" s="45">
        <v>10</v>
      </c>
      <c r="K232" s="47">
        <f>(E225-2*$E$3+2*J232)*2+(F225-2*$E$3+2*J232)*2+2*1.9*J232+2*MAX(10*J232,75)</f>
        <v>1578</v>
      </c>
      <c r="L232" s="50">
        <f t="shared" si="4"/>
        <v>5.8417560000000002</v>
      </c>
      <c r="M232" s="189"/>
      <c r="N232" s="189"/>
      <c r="O232" s="189"/>
      <c r="P232" s="189"/>
      <c r="Q232" s="189"/>
    </row>
    <row r="233" spans="2:17" x14ac:dyDescent="0.15">
      <c r="B233" s="225"/>
      <c r="C233" s="209"/>
      <c r="D233" s="209">
        <v>1</v>
      </c>
      <c r="E233" s="209">
        <v>250</v>
      </c>
      <c r="F233" s="189">
        <v>500</v>
      </c>
      <c r="G233" s="189">
        <v>6000</v>
      </c>
      <c r="H233" s="45" t="s">
        <v>95</v>
      </c>
      <c r="I233" s="45">
        <v>4</v>
      </c>
      <c r="J233" s="45">
        <v>22</v>
      </c>
      <c r="K233" s="47">
        <f>G225/3+MAX($D$3*J233,0.4*$D$3*J233+15*J233,MAX(柱工程量计算!$E$3:$F$72)-$E$3+15*J233)</f>
        <v>2900</v>
      </c>
      <c r="L233" s="50">
        <f t="shared" si="4"/>
        <v>34.640848000000005</v>
      </c>
      <c r="M233" s="189">
        <f>(2*F233+E233)*G233/10^6</f>
        <v>7.5</v>
      </c>
      <c r="N233" s="189">
        <f>PRODUCT(E233:G240)/10^9</f>
        <v>0.75</v>
      </c>
      <c r="O233" s="189">
        <f>SUM(L233:L240)</f>
        <v>225.89212575200003</v>
      </c>
      <c r="P233" s="189"/>
      <c r="Q233" s="189">
        <v>1</v>
      </c>
    </row>
    <row r="234" spans="2:17" x14ac:dyDescent="0.15">
      <c r="B234" s="225"/>
      <c r="C234" s="209"/>
      <c r="D234" s="209"/>
      <c r="E234" s="209"/>
      <c r="F234" s="189"/>
      <c r="G234" s="189"/>
      <c r="H234" s="45" t="s">
        <v>97</v>
      </c>
      <c r="I234" s="45">
        <v>2</v>
      </c>
      <c r="J234" s="45">
        <v>20</v>
      </c>
      <c r="K234" s="47">
        <f>G233/4+MAX($D$3*J234,0.4*$D$3*J234+15*J234,MAX(柱工程量计算!$E$3:$F$72)-$E$3+15*J234)</f>
        <v>2370</v>
      </c>
      <c r="L234" s="50">
        <f t="shared" si="4"/>
        <v>11.698319999999999</v>
      </c>
      <c r="M234" s="189"/>
      <c r="N234" s="189"/>
      <c r="O234" s="189"/>
      <c r="P234" s="189"/>
      <c r="Q234" s="189"/>
    </row>
    <row r="235" spans="2:17" x14ac:dyDescent="0.15">
      <c r="B235" s="225"/>
      <c r="C235" s="209"/>
      <c r="D235" s="209"/>
      <c r="E235" s="209"/>
      <c r="F235" s="189"/>
      <c r="G235" s="189"/>
      <c r="H235" s="45" t="s">
        <v>98</v>
      </c>
      <c r="I235" s="45">
        <v>4</v>
      </c>
      <c r="J235" s="45">
        <v>22</v>
      </c>
      <c r="K235" s="47">
        <f>G233/3+MAX($D$3*J235,0.4*$D$3*J235+15*J235,MAX(柱工程量计算!$E$3:$F$72)-$E$3+15*J235)</f>
        <v>2900</v>
      </c>
      <c r="L235" s="50">
        <f t="shared" si="4"/>
        <v>34.640848000000005</v>
      </c>
      <c r="M235" s="189"/>
      <c r="N235" s="189"/>
      <c r="O235" s="189"/>
      <c r="P235" s="189"/>
      <c r="Q235" s="189"/>
    </row>
    <row r="236" spans="2:17" x14ac:dyDescent="0.15">
      <c r="B236" s="225"/>
      <c r="C236" s="209"/>
      <c r="D236" s="209"/>
      <c r="E236" s="209"/>
      <c r="F236" s="189"/>
      <c r="G236" s="189"/>
      <c r="H236" s="45" t="s">
        <v>99</v>
      </c>
      <c r="I236" s="45">
        <v>2</v>
      </c>
      <c r="J236" s="45">
        <v>18</v>
      </c>
      <c r="K236" s="47">
        <f>G233/4+MAX($D$3*J236,0.4*$D$3*J236+15*J236,MAX(柱工程量计算!$E$3:$F$72)-$E$3+15*J236)</f>
        <v>2340</v>
      </c>
      <c r="L236" s="50">
        <f t="shared" si="4"/>
        <v>9.3556944000000009</v>
      </c>
      <c r="M236" s="189"/>
      <c r="N236" s="189"/>
      <c r="O236" s="189"/>
      <c r="P236" s="189"/>
      <c r="Q236" s="189"/>
    </row>
    <row r="237" spans="2:17" x14ac:dyDescent="0.15">
      <c r="B237" s="225"/>
      <c r="C237" s="209"/>
      <c r="D237" s="209"/>
      <c r="E237" s="209"/>
      <c r="F237" s="189"/>
      <c r="G237" s="189"/>
      <c r="H237" s="45" t="s">
        <v>130</v>
      </c>
      <c r="I237" s="45">
        <v>4</v>
      </c>
      <c r="J237" s="45">
        <v>22</v>
      </c>
      <c r="K237" s="47">
        <f>G233+2*IF((MAX(柱工程量计算!$E$3:$F$72)-$E$3)&gt;$D$3*J237,MAX($D$3*J237,0.5*MAX(柱工程量计算!$E$3:$F$72)+5*J237),MAX($D$3*J237,0.4*$D$3*J237+15*J237))</f>
        <v>7155</v>
      </c>
      <c r="L237" s="50">
        <f t="shared" si="4"/>
        <v>85.467333600000018</v>
      </c>
      <c r="M237" s="189"/>
      <c r="N237" s="189"/>
      <c r="O237" s="189"/>
      <c r="P237" s="189"/>
      <c r="Q237" s="189"/>
    </row>
    <row r="238" spans="2:17" x14ac:dyDescent="0.15">
      <c r="B238" s="225"/>
      <c r="C238" s="209"/>
      <c r="D238" s="209"/>
      <c r="E238" s="209"/>
      <c r="F238" s="189"/>
      <c r="G238" s="189"/>
      <c r="H238" s="45" t="s">
        <v>107</v>
      </c>
      <c r="I238" s="45">
        <f>((G233-50*2)/200*2+1)*$I$6/2</f>
        <v>120</v>
      </c>
      <c r="J238" s="45">
        <f>IF(E233&lt;=350,6,8)</f>
        <v>6</v>
      </c>
      <c r="K238" s="47">
        <f>E233-2*$E$3+2*1.9*J238+2*MAX(10*J238,75)+2*J238</f>
        <v>374.8</v>
      </c>
      <c r="L238" s="50">
        <f t="shared" si="4"/>
        <v>9.9900691199999976</v>
      </c>
      <c r="M238" s="189"/>
      <c r="N238" s="189"/>
      <c r="O238" s="189"/>
      <c r="P238" s="189"/>
      <c r="Q238" s="189"/>
    </row>
    <row r="239" spans="2:17" x14ac:dyDescent="0.15">
      <c r="B239" s="225"/>
      <c r="C239" s="209"/>
      <c r="D239" s="209"/>
      <c r="E239" s="209"/>
      <c r="F239" s="189"/>
      <c r="G239" s="189"/>
      <c r="H239" s="45" t="s">
        <v>108</v>
      </c>
      <c r="I239" s="45">
        <f>2*((IF($B$3="一级",MAX(2*F233,500),MAX(1.5*F233,500))-50)/100+1)+(G233-2*IF($B$3="一级",MAX(2*F233,500),MAX(1.5*F233,500)))/200-1</f>
        <v>37.5</v>
      </c>
      <c r="J239" s="45">
        <v>10</v>
      </c>
      <c r="K239" s="45">
        <f>(E233-2*$E$3+2*J239)*2+(F233-2*$E$3+2*J239)*2+2*1.9*J239+2*MAX(10*J239,75)</f>
        <v>1578</v>
      </c>
      <c r="L239" s="50">
        <f t="shared" si="4"/>
        <v>36.510975000000002</v>
      </c>
      <c r="M239" s="189"/>
      <c r="N239" s="189"/>
      <c r="O239" s="189"/>
      <c r="P239" s="189"/>
      <c r="Q239" s="189"/>
    </row>
    <row r="240" spans="2:17" x14ac:dyDescent="0.15">
      <c r="B240" s="225"/>
      <c r="C240" s="209"/>
      <c r="D240" s="209"/>
      <c r="E240" s="209"/>
      <c r="F240" s="189"/>
      <c r="G240" s="189"/>
      <c r="H240" s="45" t="s">
        <v>132</v>
      </c>
      <c r="I240" s="45">
        <v>6</v>
      </c>
      <c r="J240" s="45">
        <v>8</v>
      </c>
      <c r="K240" s="47">
        <f>(E233-2*$E$3+2*J240)*2+(F233-2*$E$3+2*J240)*2+2*1.9*J240+2*MAX(10*J240,75)</f>
        <v>1514.4</v>
      </c>
      <c r="L240" s="50">
        <f t="shared" si="4"/>
        <v>3.5880376320000007</v>
      </c>
      <c r="M240" s="189"/>
      <c r="N240" s="189"/>
      <c r="O240" s="189"/>
      <c r="P240" s="189"/>
      <c r="Q240" s="189"/>
    </row>
    <row r="241" spans="2:17" x14ac:dyDescent="0.15">
      <c r="B241" s="225"/>
      <c r="C241" s="209"/>
      <c r="D241" s="209">
        <v>2</v>
      </c>
      <c r="E241" s="209">
        <v>250</v>
      </c>
      <c r="F241" s="189">
        <v>500</v>
      </c>
      <c r="G241" s="189">
        <v>6000</v>
      </c>
      <c r="H241" s="45" t="s">
        <v>95</v>
      </c>
      <c r="I241" s="45">
        <v>4</v>
      </c>
      <c r="J241" s="45">
        <v>22</v>
      </c>
      <c r="K241" s="47">
        <f>G241/3+MAX($D$3*J241,0.4*$D$3*J241+15*J241,MAX(柱工程量计算!$E$3:$F$72)-$E$3+15*J241)</f>
        <v>2900</v>
      </c>
      <c r="L241" s="50">
        <f t="shared" si="4"/>
        <v>34.640848000000005</v>
      </c>
      <c r="M241" s="189">
        <f>(2*F241+E241)*G241/10^6</f>
        <v>7.5</v>
      </c>
      <c r="N241" s="189">
        <f>PRODUCT(E241:G248)/10^9</f>
        <v>0.75</v>
      </c>
      <c r="O241" s="189">
        <f>SUM(L241:L248)</f>
        <v>230.85169515200005</v>
      </c>
      <c r="P241" s="189"/>
      <c r="Q241" s="189">
        <v>2</v>
      </c>
    </row>
    <row r="242" spans="2:17" x14ac:dyDescent="0.15">
      <c r="B242" s="225"/>
      <c r="C242" s="209"/>
      <c r="D242" s="209"/>
      <c r="E242" s="209"/>
      <c r="F242" s="189"/>
      <c r="G242" s="189"/>
      <c r="H242" s="45" t="s">
        <v>97</v>
      </c>
      <c r="I242" s="45">
        <v>2</v>
      </c>
      <c r="J242" s="45">
        <v>18</v>
      </c>
      <c r="K242" s="47">
        <f>G241/4+MAX($D$3*J242,0.4*$D$3*J242+15*J242,MAX(柱工程量计算!$E$3:$F$72)-$E$3+15*J242)</f>
        <v>2340</v>
      </c>
      <c r="L242" s="50">
        <f t="shared" si="4"/>
        <v>9.3556944000000009</v>
      </c>
      <c r="M242" s="189"/>
      <c r="N242" s="189"/>
      <c r="O242" s="189"/>
      <c r="P242" s="189"/>
      <c r="Q242" s="189"/>
    </row>
    <row r="243" spans="2:17" x14ac:dyDescent="0.15">
      <c r="B243" s="225"/>
      <c r="C243" s="209"/>
      <c r="D243" s="209"/>
      <c r="E243" s="209"/>
      <c r="F243" s="189"/>
      <c r="G243" s="189"/>
      <c r="H243" s="45" t="s">
        <v>98</v>
      </c>
      <c r="I243" s="45">
        <v>4</v>
      </c>
      <c r="J243" s="45">
        <v>22</v>
      </c>
      <c r="K243" s="47">
        <f>G241/3+MAX($D$3*J243,0.4*$D$3*J243+15*J243,MAX(柱工程量计算!$E$3:$F$72)-$E$3+15*J243)</f>
        <v>2900</v>
      </c>
      <c r="L243" s="50">
        <f t="shared" si="4"/>
        <v>34.640848000000005</v>
      </c>
      <c r="M243" s="189"/>
      <c r="N243" s="189"/>
      <c r="O243" s="189"/>
      <c r="P243" s="189"/>
      <c r="Q243" s="189"/>
    </row>
    <row r="244" spans="2:17" x14ac:dyDescent="0.15">
      <c r="B244" s="225"/>
      <c r="C244" s="209"/>
      <c r="D244" s="209"/>
      <c r="E244" s="209"/>
      <c r="F244" s="189"/>
      <c r="G244" s="189"/>
      <c r="H244" s="45" t="s">
        <v>99</v>
      </c>
      <c r="I244" s="45">
        <v>2</v>
      </c>
      <c r="J244" s="45">
        <v>18</v>
      </c>
      <c r="K244" s="47">
        <f>G241/4+MAX($D$3*J244,0.4*$D$3*J244+15*J244,MAX(柱工程量计算!$E$3:$F$72)-$E$3+15*J244)</f>
        <v>2340</v>
      </c>
      <c r="L244" s="50">
        <f t="shared" si="4"/>
        <v>9.3556944000000009</v>
      </c>
      <c r="M244" s="189"/>
      <c r="N244" s="189"/>
      <c r="O244" s="189"/>
      <c r="P244" s="189"/>
      <c r="Q244" s="189"/>
    </row>
    <row r="245" spans="2:17" x14ac:dyDescent="0.15">
      <c r="B245" s="225"/>
      <c r="C245" s="209"/>
      <c r="D245" s="209"/>
      <c r="E245" s="209"/>
      <c r="F245" s="189"/>
      <c r="G245" s="189"/>
      <c r="H245" s="45" t="s">
        <v>120</v>
      </c>
      <c r="I245" s="45">
        <v>4</v>
      </c>
      <c r="J245" s="45">
        <v>22</v>
      </c>
      <c r="K245" s="47">
        <f>G241+2*IF((MAX(柱工程量计算!$E$3:$F$72)-$E$3)&gt;$D$3*J245,MAX($D$3*J245,0.5*MAX(柱工程量计算!$E$3:$F$72)+5*J245),MAX($D$3*J245,0.4*$D$3*J245+15*J245))</f>
        <v>7155</v>
      </c>
      <c r="L245" s="50">
        <f t="shared" si="4"/>
        <v>85.467333600000018</v>
      </c>
      <c r="M245" s="189"/>
      <c r="N245" s="189"/>
      <c r="O245" s="189"/>
      <c r="P245" s="189"/>
      <c r="Q245" s="189"/>
    </row>
    <row r="246" spans="2:17" x14ac:dyDescent="0.15">
      <c r="B246" s="225"/>
      <c r="C246" s="209"/>
      <c r="D246" s="209"/>
      <c r="E246" s="209"/>
      <c r="F246" s="189"/>
      <c r="G246" s="189"/>
      <c r="H246" s="45" t="s">
        <v>107</v>
      </c>
      <c r="I246" s="45">
        <f>((G241-50*2)/200*2+1)*$I$6/2</f>
        <v>120</v>
      </c>
      <c r="J246" s="45">
        <f>IF(E241&lt;=350,6,8)</f>
        <v>6</v>
      </c>
      <c r="K246" s="47">
        <f>E241-2*$E$3+2*1.9*J246+2*MAX(10*J246,75)+2*J246</f>
        <v>374.8</v>
      </c>
      <c r="L246" s="50">
        <f t="shared" si="4"/>
        <v>9.9900691199999976</v>
      </c>
      <c r="M246" s="189"/>
      <c r="N246" s="189"/>
      <c r="O246" s="189"/>
      <c r="P246" s="189"/>
      <c r="Q246" s="189"/>
    </row>
    <row r="247" spans="2:17" x14ac:dyDescent="0.15">
      <c r="B247" s="225"/>
      <c r="C247" s="209"/>
      <c r="D247" s="209"/>
      <c r="E247" s="209"/>
      <c r="F247" s="189"/>
      <c r="G247" s="189"/>
      <c r="H247" s="45" t="s">
        <v>108</v>
      </c>
      <c r="I247" s="45">
        <f>2*((IF($B$3="一级",MAX(2*F241,500),MAX(1.5*F241,500))-50)/100+1)+(G241-2*IF($B$3="一级",MAX(2*F241,500),MAX(1.5*F241,500)))/150-1</f>
        <v>45</v>
      </c>
      <c r="J247" s="45">
        <v>10</v>
      </c>
      <c r="K247" s="45">
        <f>(E241-2*$E$3+2*J247)*2+(F241-2*$E$3+2*J247)*2+2*1.9*J247+2*MAX(10*J247,75)</f>
        <v>1578</v>
      </c>
      <c r="L247" s="50">
        <f t="shared" si="4"/>
        <v>43.81317</v>
      </c>
      <c r="M247" s="189"/>
      <c r="N247" s="189"/>
      <c r="O247" s="189"/>
      <c r="P247" s="189"/>
      <c r="Q247" s="189"/>
    </row>
    <row r="248" spans="2:17" x14ac:dyDescent="0.15">
      <c r="B248" s="225"/>
      <c r="C248" s="209"/>
      <c r="D248" s="209"/>
      <c r="E248" s="209"/>
      <c r="F248" s="189"/>
      <c r="G248" s="189"/>
      <c r="H248" s="45" t="s">
        <v>132</v>
      </c>
      <c r="I248" s="45">
        <v>6</v>
      </c>
      <c r="J248" s="45">
        <v>8</v>
      </c>
      <c r="K248" s="47">
        <f>(E241-2*$E$3+2*J248)*2+(F241-2*$E$3+2*J248)*2+2*1.9*J248+2*MAX(10*J248,75)</f>
        <v>1514.4</v>
      </c>
      <c r="L248" s="50">
        <f t="shared" si="4"/>
        <v>3.5880376320000007</v>
      </c>
      <c r="M248" s="189"/>
      <c r="N248" s="189"/>
      <c r="O248" s="189"/>
      <c r="P248" s="189"/>
      <c r="Q248" s="189"/>
    </row>
    <row r="249" spans="2:17" x14ac:dyDescent="0.15">
      <c r="B249" s="225"/>
      <c r="C249" s="209" t="s">
        <v>135</v>
      </c>
      <c r="D249" s="218" t="s">
        <v>106</v>
      </c>
      <c r="E249" s="219"/>
      <c r="F249" s="218">
        <v>42600</v>
      </c>
      <c r="G249" s="219"/>
      <c r="H249" s="45" t="s">
        <v>103</v>
      </c>
      <c r="I249" s="45">
        <v>2</v>
      </c>
      <c r="J249" s="45">
        <v>20</v>
      </c>
      <c r="K249" s="47">
        <f>F249+2*IF((MAX(柱工程量计算!$E$3:$F$72)-$E$3)&gt;$D$3*J249,MAX($D$3*J249,0.5*MAX(柱工程量计算!$E$3:$F$72)+5*J249,MAX($D$3*J249,0.4*$D$3*J249+15*J249)))</f>
        <v>43650</v>
      </c>
      <c r="L249" s="50">
        <f t="shared" si="4"/>
        <v>215.4564</v>
      </c>
      <c r="M249" s="189">
        <f>(2*F251+E251)*G251/10^6</f>
        <v>7.5</v>
      </c>
      <c r="N249" s="189">
        <f>PRODUCT(E251:G258)/10^9</f>
        <v>0.75</v>
      </c>
      <c r="O249" s="189">
        <f>SUM(L249:L258)</f>
        <v>561.78665427200008</v>
      </c>
      <c r="P249" s="189">
        <v>3</v>
      </c>
      <c r="Q249" s="189">
        <v>1</v>
      </c>
    </row>
    <row r="250" spans="2:17" x14ac:dyDescent="0.15">
      <c r="B250" s="225"/>
      <c r="C250" s="209"/>
      <c r="D250" s="223"/>
      <c r="E250" s="224"/>
      <c r="F250" s="223"/>
      <c r="G250" s="224"/>
      <c r="H250" s="45" t="s">
        <v>100</v>
      </c>
      <c r="I250" s="45">
        <v>4</v>
      </c>
      <c r="J250" s="45">
        <v>12</v>
      </c>
      <c r="K250" s="47">
        <f>IF(F251&gt;=450,F249+2*IF((MAX(柱工程量计算!$E$3:$F$72)-$E$3)&gt;$D$3*J250,MAX($D$3*J250,0.5*MAX(柱工程量计算!$E$3:$F$72)+5*J250),MAX($D$3*J250,0.4*$D$3*J250+15*J250)),F249+15*J250)</f>
        <v>43320</v>
      </c>
      <c r="L250" s="50">
        <f t="shared" si="4"/>
        <v>153.95581440000001</v>
      </c>
      <c r="M250" s="189"/>
      <c r="N250" s="189"/>
      <c r="O250" s="189"/>
      <c r="P250" s="189"/>
      <c r="Q250" s="189"/>
    </row>
    <row r="251" spans="2:17" x14ac:dyDescent="0.15">
      <c r="B251" s="225"/>
      <c r="C251" s="209"/>
      <c r="D251" s="209">
        <v>4</v>
      </c>
      <c r="E251" s="209">
        <v>250</v>
      </c>
      <c r="F251" s="189">
        <v>500</v>
      </c>
      <c r="G251" s="189">
        <v>6000</v>
      </c>
      <c r="H251" s="45" t="s">
        <v>95</v>
      </c>
      <c r="I251" s="45">
        <v>4</v>
      </c>
      <c r="J251" s="45">
        <v>20</v>
      </c>
      <c r="K251" s="47">
        <f>G251/3+MAX($D$3*J251,0.4*$D$3*J251+15*J251,MAX(柱工程量计算!$E$3:$F$72)-$E$3+15*J251)</f>
        <v>2870</v>
      </c>
      <c r="L251" s="50">
        <f t="shared" si="4"/>
        <v>28.332639999999998</v>
      </c>
      <c r="M251" s="189"/>
      <c r="N251" s="189"/>
      <c r="O251" s="189"/>
      <c r="P251" s="189"/>
      <c r="Q251" s="189"/>
    </row>
    <row r="252" spans="2:17" x14ac:dyDescent="0.15">
      <c r="B252" s="225"/>
      <c r="C252" s="209"/>
      <c r="D252" s="209"/>
      <c r="E252" s="209"/>
      <c r="F252" s="189"/>
      <c r="G252" s="189"/>
      <c r="H252" s="45" t="s">
        <v>97</v>
      </c>
      <c r="I252" s="45">
        <v>2</v>
      </c>
      <c r="J252" s="45">
        <v>16</v>
      </c>
      <c r="K252" s="47">
        <f>G251/4+MAX($D$3*J252,0.4*$D$3*J252+15*J252,MAX(柱工程量计算!$E$3:$F$72)-$E$3+15*J252)</f>
        <v>2310</v>
      </c>
      <c r="L252" s="50">
        <f t="shared" si="4"/>
        <v>7.2973824000000009</v>
      </c>
      <c r="M252" s="189"/>
      <c r="N252" s="189"/>
      <c r="O252" s="189"/>
      <c r="P252" s="189"/>
      <c r="Q252" s="189"/>
    </row>
    <row r="253" spans="2:17" x14ac:dyDescent="0.15">
      <c r="B253" s="225"/>
      <c r="C253" s="209"/>
      <c r="D253" s="209"/>
      <c r="E253" s="209"/>
      <c r="F253" s="189"/>
      <c r="G253" s="189"/>
      <c r="H253" s="45" t="s">
        <v>98</v>
      </c>
      <c r="I253" s="45">
        <v>4</v>
      </c>
      <c r="J253" s="45">
        <v>20</v>
      </c>
      <c r="K253" s="47">
        <f>G251/3+MAX($D$3*J253,0.4*$D$3*J253+15*J253,MAX(柱工程量计算!$E$3:$F$72)-$E$3+15*J253)</f>
        <v>2870</v>
      </c>
      <c r="L253" s="50">
        <f t="shared" si="4"/>
        <v>28.332639999999998</v>
      </c>
      <c r="M253" s="189"/>
      <c r="N253" s="189"/>
      <c r="O253" s="189"/>
      <c r="P253" s="189"/>
      <c r="Q253" s="189"/>
    </row>
    <row r="254" spans="2:17" x14ac:dyDescent="0.15">
      <c r="B254" s="225"/>
      <c r="C254" s="209"/>
      <c r="D254" s="209"/>
      <c r="E254" s="209"/>
      <c r="F254" s="189"/>
      <c r="G254" s="189"/>
      <c r="H254" s="45" t="s">
        <v>99</v>
      </c>
      <c r="I254" s="45">
        <v>2</v>
      </c>
      <c r="J254" s="45">
        <v>18</v>
      </c>
      <c r="K254" s="47">
        <f>G251/4+MAX($D$3*J254,0.4*$D$3*J254+15*J254,MAX(柱工程量计算!$E$3:$F$72)-$E$3+15*J254)</f>
        <v>2340</v>
      </c>
      <c r="L254" s="50">
        <f t="shared" si="4"/>
        <v>9.3556944000000009</v>
      </c>
      <c r="M254" s="189"/>
      <c r="N254" s="189"/>
      <c r="O254" s="189"/>
      <c r="P254" s="189"/>
      <c r="Q254" s="189"/>
    </row>
    <row r="255" spans="2:17" x14ac:dyDescent="0.15">
      <c r="B255" s="225"/>
      <c r="C255" s="209"/>
      <c r="D255" s="209"/>
      <c r="E255" s="209"/>
      <c r="F255" s="189"/>
      <c r="G255" s="189"/>
      <c r="H255" s="45" t="s">
        <v>130</v>
      </c>
      <c r="I255" s="45">
        <v>4</v>
      </c>
      <c r="J255" s="45">
        <v>20</v>
      </c>
      <c r="K255" s="47">
        <f>G251+2*IF((MAX(柱工程量计算!$E$3:$F$72)-$E$3)&gt;$D$3*J255,MAX($D$3*J255,0.5*MAX(柱工程量计算!$E$3:$F$72)+5*J255),MAX($D$3*J255,0.4*$D$3*J255+15*J255))</f>
        <v>7050</v>
      </c>
      <c r="L255" s="50">
        <f t="shared" si="4"/>
        <v>69.5976</v>
      </c>
      <c r="M255" s="189"/>
      <c r="N255" s="189"/>
      <c r="O255" s="189"/>
      <c r="P255" s="189"/>
      <c r="Q255" s="189"/>
    </row>
    <row r="256" spans="2:17" x14ac:dyDescent="0.15">
      <c r="B256" s="225"/>
      <c r="C256" s="209"/>
      <c r="D256" s="209"/>
      <c r="E256" s="209"/>
      <c r="F256" s="189"/>
      <c r="G256" s="189"/>
      <c r="H256" s="45" t="s">
        <v>107</v>
      </c>
      <c r="I256" s="45">
        <f>((G251-50*2)/200*2+1)*$I$6/2</f>
        <v>120</v>
      </c>
      <c r="J256" s="45">
        <f>IF(E251&lt;=350,6,8)</f>
        <v>6</v>
      </c>
      <c r="K256" s="47">
        <f>E251-2*$E$3+2*1.9*J256+2*MAX(10*J256,75)+2*J256</f>
        <v>374.8</v>
      </c>
      <c r="L256" s="50">
        <f t="shared" si="4"/>
        <v>9.9900691199999976</v>
      </c>
      <c r="M256" s="189"/>
      <c r="N256" s="189"/>
      <c r="O256" s="189"/>
      <c r="P256" s="189"/>
      <c r="Q256" s="189"/>
    </row>
    <row r="257" spans="1:17" x14ac:dyDescent="0.15">
      <c r="B257" s="225"/>
      <c r="C257" s="209"/>
      <c r="D257" s="209"/>
      <c r="E257" s="209"/>
      <c r="F257" s="189"/>
      <c r="G257" s="189"/>
      <c r="H257" s="45" t="s">
        <v>108</v>
      </c>
      <c r="I257" s="45">
        <f>2*((IF($B$3="一级",MAX(2*F251,500),MAX(1.5*F251,500))-50)/100+1)+(G251-2*IF($B$3="一级",MAX(2*F251,500),MAX(1.5*F251,500)))/100-1</f>
        <v>60</v>
      </c>
      <c r="J257" s="45">
        <v>8</v>
      </c>
      <c r="K257" s="45">
        <f>(E251-2*$E$3+2*J257)*2+(F251-2*$E$3+2*J257)*2+2*1.9*J257+2*MAX(10*J257,75)</f>
        <v>1514.4</v>
      </c>
      <c r="L257" s="50">
        <f t="shared" si="4"/>
        <v>35.880376320000003</v>
      </c>
      <c r="M257" s="189"/>
      <c r="N257" s="189"/>
      <c r="O257" s="189"/>
      <c r="P257" s="189"/>
      <c r="Q257" s="189"/>
    </row>
    <row r="258" spans="1:17" x14ac:dyDescent="0.15">
      <c r="B258" s="225"/>
      <c r="C258" s="209"/>
      <c r="D258" s="209"/>
      <c r="E258" s="209"/>
      <c r="F258" s="189"/>
      <c r="G258" s="189"/>
      <c r="H258" s="45" t="s">
        <v>132</v>
      </c>
      <c r="I258" s="45">
        <v>6</v>
      </c>
      <c r="J258" s="45">
        <v>8</v>
      </c>
      <c r="K258" s="47">
        <f>(E251-2*$E$3+2*J258)*2+(F251-2*$E$3+2*J258)*2+2*1.9*J258+2*MAX(10*J258,75)</f>
        <v>1514.4</v>
      </c>
      <c r="L258" s="50">
        <f t="shared" si="4"/>
        <v>3.5880376320000007</v>
      </c>
      <c r="M258" s="189"/>
      <c r="N258" s="189"/>
      <c r="O258" s="189"/>
      <c r="P258" s="189"/>
      <c r="Q258" s="189"/>
    </row>
    <row r="259" spans="1:17" x14ac:dyDescent="0.15">
      <c r="B259" s="225"/>
      <c r="C259" s="209"/>
      <c r="D259" s="209">
        <v>1</v>
      </c>
      <c r="E259" s="209">
        <v>250</v>
      </c>
      <c r="F259" s="189">
        <v>500</v>
      </c>
      <c r="G259" s="189">
        <v>6000</v>
      </c>
      <c r="H259" s="45" t="s">
        <v>95</v>
      </c>
      <c r="I259" s="45">
        <v>4</v>
      </c>
      <c r="J259" s="45">
        <v>20</v>
      </c>
      <c r="K259" s="47">
        <f>G259/3+MAX($D$3*J259,0.4*$D$3*J259+15*J259,MAX(柱工程量计算!$E$3:$F$72)-$E$3+15*J259)</f>
        <v>2870</v>
      </c>
      <c r="L259" s="50">
        <f t="shared" si="4"/>
        <v>28.332639999999998</v>
      </c>
      <c r="M259" s="189">
        <f>(2*F259+E259)*G259/10^6</f>
        <v>7.5</v>
      </c>
      <c r="N259" s="189">
        <f>PRODUCT(E259:G267)/10^9</f>
        <v>0.75</v>
      </c>
      <c r="O259" s="189">
        <f>SUM(L259:L267)</f>
        <v>200.99648672000001</v>
      </c>
      <c r="P259" s="189"/>
      <c r="Q259" s="189">
        <v>1</v>
      </c>
    </row>
    <row r="260" spans="1:17" x14ac:dyDescent="0.15">
      <c r="B260" s="225"/>
      <c r="C260" s="209"/>
      <c r="D260" s="209"/>
      <c r="E260" s="209"/>
      <c r="F260" s="189"/>
      <c r="G260" s="189"/>
      <c r="H260" s="45" t="s">
        <v>97</v>
      </c>
      <c r="I260" s="45">
        <v>2</v>
      </c>
      <c r="J260" s="45">
        <v>18</v>
      </c>
      <c r="K260" s="47">
        <f>G259/4+MAX($D$3*J260,0.4*$D$3*J260+15*J260,MAX(柱工程量计算!$E$3:$F$72)-$E$3+15*J260)</f>
        <v>2340</v>
      </c>
      <c r="L260" s="50">
        <f t="shared" si="4"/>
        <v>9.3556944000000009</v>
      </c>
      <c r="M260" s="189"/>
      <c r="N260" s="189"/>
      <c r="O260" s="189"/>
      <c r="P260" s="189"/>
      <c r="Q260" s="189"/>
    </row>
    <row r="261" spans="1:17" x14ac:dyDescent="0.15">
      <c r="B261" s="225"/>
      <c r="C261" s="209"/>
      <c r="D261" s="209"/>
      <c r="E261" s="209"/>
      <c r="F261" s="189"/>
      <c r="G261" s="189"/>
      <c r="H261" s="45" t="s">
        <v>98</v>
      </c>
      <c r="I261" s="45">
        <v>4</v>
      </c>
      <c r="J261" s="45">
        <v>20</v>
      </c>
      <c r="K261" s="47">
        <f>G259/3+MAX($D$3*J261,0.4*$D$3*J261+15*J261,MAX(柱工程量计算!$E$3:$F$72)-$E$3+15*J261)</f>
        <v>2870</v>
      </c>
      <c r="L261" s="50">
        <f t="shared" si="4"/>
        <v>28.332639999999998</v>
      </c>
      <c r="M261" s="189"/>
      <c r="N261" s="189"/>
      <c r="O261" s="189"/>
      <c r="P261" s="189"/>
      <c r="Q261" s="189"/>
    </row>
    <row r="262" spans="1:17" x14ac:dyDescent="0.15">
      <c r="B262" s="225"/>
      <c r="C262" s="209"/>
      <c r="D262" s="209"/>
      <c r="E262" s="209"/>
      <c r="F262" s="189"/>
      <c r="G262" s="189"/>
      <c r="H262" s="45" t="s">
        <v>99</v>
      </c>
      <c r="I262" s="45">
        <v>2</v>
      </c>
      <c r="J262" s="45">
        <v>18</v>
      </c>
      <c r="K262" s="47">
        <f>G259/4+MAX($D$3*J262,0.4*$D$3*J262+15*J262,MAX(柱工程量计算!$E$3:$F$72)-$E$3+15*J262)</f>
        <v>2340</v>
      </c>
      <c r="L262" s="50">
        <f t="shared" si="4"/>
        <v>9.3556944000000009</v>
      </c>
      <c r="M262" s="189"/>
      <c r="N262" s="189"/>
      <c r="O262" s="189"/>
      <c r="P262" s="189"/>
      <c r="Q262" s="189"/>
    </row>
    <row r="263" spans="1:17" s="46" customFormat="1" x14ac:dyDescent="0.15">
      <c r="A263" s="195"/>
      <c r="B263" s="225"/>
      <c r="C263" s="209"/>
      <c r="D263" s="209"/>
      <c r="E263" s="209"/>
      <c r="F263" s="189"/>
      <c r="G263" s="189"/>
      <c r="H263" s="45" t="s">
        <v>121</v>
      </c>
      <c r="I263" s="45">
        <v>2</v>
      </c>
      <c r="J263" s="45">
        <v>22</v>
      </c>
      <c r="K263" s="47">
        <f>G259+2*IF((MAX(柱工程量计算!$E$3:$F$72)-$E$3)&gt;$D$3*J263,MAX($D$3*J263,0.5*MAX(柱工程量计算!$E$3:$F$72)+5*J263),MAX($D$3*J263,0.4*$D$3*J263+15*J263))</f>
        <v>7155</v>
      </c>
      <c r="L263" s="50">
        <f t="shared" si="4"/>
        <v>42.733666800000009</v>
      </c>
      <c r="M263" s="189"/>
      <c r="N263" s="189"/>
      <c r="O263" s="189"/>
      <c r="P263" s="189"/>
      <c r="Q263" s="189"/>
    </row>
    <row r="264" spans="1:17" x14ac:dyDescent="0.15">
      <c r="B264" s="225"/>
      <c r="C264" s="209"/>
      <c r="D264" s="209"/>
      <c r="E264" s="209"/>
      <c r="F264" s="189"/>
      <c r="G264" s="189"/>
      <c r="H264" s="45" t="s">
        <v>120</v>
      </c>
      <c r="I264" s="45">
        <v>1</v>
      </c>
      <c r="J264" s="45">
        <v>20</v>
      </c>
      <c r="K264" s="47">
        <f>G259+2*IF((MAX(柱工程量计算!$E$3:$F$72)-$E$3)&gt;$D$3*J264,MAX($D$3*J264,0.5*MAX(柱工程量计算!$E$3:$F$72)+5*J264),MAX($D$3*J264,0.4*$D$3*J264+15*J264))</f>
        <v>7050</v>
      </c>
      <c r="L264" s="50">
        <f t="shared" si="4"/>
        <v>17.3994</v>
      </c>
      <c r="M264" s="189"/>
      <c r="N264" s="189"/>
      <c r="O264" s="189"/>
      <c r="P264" s="189"/>
      <c r="Q264" s="189"/>
    </row>
    <row r="265" spans="1:17" x14ac:dyDescent="0.15">
      <c r="B265" s="225"/>
      <c r="C265" s="209"/>
      <c r="D265" s="209"/>
      <c r="E265" s="209"/>
      <c r="F265" s="189"/>
      <c r="G265" s="189"/>
      <c r="H265" s="45" t="s">
        <v>107</v>
      </c>
      <c r="I265" s="45">
        <f>((G259-50*2)/200*2+1)*$I$6/2</f>
        <v>120</v>
      </c>
      <c r="J265" s="45">
        <f>IF(E259&lt;=350,6,8)</f>
        <v>6</v>
      </c>
      <c r="K265" s="47">
        <f>E259-2*$E$3+2*1.9*J265+2*MAX(10*J265,75)+2*J265</f>
        <v>374.8</v>
      </c>
      <c r="L265" s="50">
        <f t="shared" si="4"/>
        <v>9.9900691199999976</v>
      </c>
      <c r="M265" s="189"/>
      <c r="N265" s="189"/>
      <c r="O265" s="189"/>
      <c r="P265" s="189"/>
      <c r="Q265" s="189"/>
    </row>
    <row r="266" spans="1:17" x14ac:dyDescent="0.15">
      <c r="B266" s="225"/>
      <c r="C266" s="209"/>
      <c r="D266" s="209"/>
      <c r="E266" s="209"/>
      <c r="F266" s="189"/>
      <c r="G266" s="189"/>
      <c r="H266" s="45" t="s">
        <v>108</v>
      </c>
      <c r="I266" s="45">
        <f>2*((IF($B$3="一级",MAX(2*F259,500),MAX(1.5*F259,500))-50)/100+1)+(G259-2*IF($B$3="一级",MAX(2*F259,500),MAX(1.5*F259,500)))/150-1</f>
        <v>45</v>
      </c>
      <c r="J266" s="45">
        <v>10</v>
      </c>
      <c r="K266" s="45">
        <f>(E259-2*$E$3+2*J266)*2+(F259-2*$E$3+2*J266)*2+2*1.9*J266+2*MAX(10*J266,75)</f>
        <v>1578</v>
      </c>
      <c r="L266" s="50">
        <f t="shared" si="4"/>
        <v>43.81317</v>
      </c>
      <c r="M266" s="189"/>
      <c r="N266" s="189"/>
      <c r="O266" s="189"/>
      <c r="P266" s="189"/>
      <c r="Q266" s="189"/>
    </row>
    <row r="267" spans="1:17" x14ac:dyDescent="0.15">
      <c r="B267" s="225"/>
      <c r="C267" s="209"/>
      <c r="D267" s="209"/>
      <c r="E267" s="209"/>
      <c r="F267" s="189"/>
      <c r="G267" s="189"/>
      <c r="H267" s="45" t="s">
        <v>132</v>
      </c>
      <c r="I267" s="45">
        <v>12</v>
      </c>
      <c r="J267" s="45">
        <v>10</v>
      </c>
      <c r="K267" s="47">
        <f>(E259-2*$E$3+2*J267)*2+(F259-2*$E$3+2*J267)*2+2*1.9*J267+2*MAX(10*J267,75)</f>
        <v>1578</v>
      </c>
      <c r="L267" s="50">
        <f t="shared" si="4"/>
        <v>11.683512</v>
      </c>
      <c r="M267" s="189"/>
      <c r="N267" s="189"/>
      <c r="O267" s="189"/>
      <c r="P267" s="189"/>
      <c r="Q267" s="189"/>
    </row>
    <row r="268" spans="1:17" x14ac:dyDescent="0.15">
      <c r="B268" s="225"/>
      <c r="C268" s="209"/>
      <c r="D268" s="209">
        <v>1</v>
      </c>
      <c r="E268" s="209">
        <v>250</v>
      </c>
      <c r="F268" s="189">
        <v>500</v>
      </c>
      <c r="G268" s="189">
        <v>6000</v>
      </c>
      <c r="H268" s="45" t="s">
        <v>95</v>
      </c>
      <c r="I268" s="45">
        <v>4</v>
      </c>
      <c r="J268" s="45">
        <v>20</v>
      </c>
      <c r="K268" s="47">
        <f>G268/3+MAX($D$3*J268,0.4*$D$3*J268+15*J268,MAX(柱工程量计算!$E$3:$F$72)-$E$3+15*J268)</f>
        <v>2870</v>
      </c>
      <c r="L268" s="50">
        <f t="shared" si="4"/>
        <v>28.332639999999998</v>
      </c>
      <c r="M268" s="189">
        <f>(2*F268+E268)*G268/10^6</f>
        <v>7.5</v>
      </c>
      <c r="N268" s="189">
        <f>PRODUCT(E268:G276)/10^9</f>
        <v>0.75</v>
      </c>
      <c r="O268" s="189">
        <f>SUM(L268:L276)</f>
        <v>208.52599932799998</v>
      </c>
      <c r="P268" s="189"/>
      <c r="Q268" s="189">
        <v>1</v>
      </c>
    </row>
    <row r="269" spans="1:17" x14ac:dyDescent="0.15">
      <c r="B269" s="225"/>
      <c r="C269" s="209"/>
      <c r="D269" s="209"/>
      <c r="E269" s="209"/>
      <c r="F269" s="189"/>
      <c r="G269" s="189"/>
      <c r="H269" s="45" t="s">
        <v>97</v>
      </c>
      <c r="I269" s="45">
        <v>2</v>
      </c>
      <c r="J269" s="45">
        <v>18</v>
      </c>
      <c r="K269" s="47">
        <f>G268/4+MAX($D$3*J269,0.4*$D$3*J269+15*J269,MAX(柱工程量计算!$E$3:$F$72)-$E$3+15*J269)</f>
        <v>2340</v>
      </c>
      <c r="L269" s="50">
        <f t="shared" si="4"/>
        <v>9.3556944000000009</v>
      </c>
      <c r="M269" s="189"/>
      <c r="N269" s="189"/>
      <c r="O269" s="189"/>
      <c r="P269" s="189"/>
      <c r="Q269" s="189"/>
    </row>
    <row r="270" spans="1:17" x14ac:dyDescent="0.15">
      <c r="B270" s="225"/>
      <c r="C270" s="209"/>
      <c r="D270" s="209"/>
      <c r="E270" s="209"/>
      <c r="F270" s="189"/>
      <c r="G270" s="189"/>
      <c r="H270" s="45" t="s">
        <v>98</v>
      </c>
      <c r="I270" s="45">
        <v>4</v>
      </c>
      <c r="J270" s="45">
        <v>20</v>
      </c>
      <c r="K270" s="47">
        <f>G268/3+MAX($D$3*J270,0.4*$D$3*J270+15*J270,MAX(柱工程量计算!$E$3:$F$72)-$E$3+15*J270)</f>
        <v>2870</v>
      </c>
      <c r="L270" s="50">
        <f t="shared" ref="L270:L333" si="5">I270*(J270/10)^2*0.617*K270/1000</f>
        <v>28.332639999999998</v>
      </c>
      <c r="M270" s="189"/>
      <c r="N270" s="189"/>
      <c r="O270" s="189"/>
      <c r="P270" s="189"/>
      <c r="Q270" s="189"/>
    </row>
    <row r="271" spans="1:17" x14ac:dyDescent="0.15">
      <c r="B271" s="225"/>
      <c r="C271" s="209"/>
      <c r="D271" s="209"/>
      <c r="E271" s="209"/>
      <c r="F271" s="189"/>
      <c r="G271" s="189"/>
      <c r="H271" s="45" t="s">
        <v>99</v>
      </c>
      <c r="I271" s="45">
        <v>2</v>
      </c>
      <c r="J271" s="45">
        <v>18</v>
      </c>
      <c r="K271" s="47">
        <f>G268/4+MAX($D$3*J271,0.4*$D$3*J271+15*J271,MAX(柱工程量计算!$E$3:$F$72)-$E$3+15*J271)</f>
        <v>2340</v>
      </c>
      <c r="L271" s="50">
        <f t="shared" si="5"/>
        <v>9.3556944000000009</v>
      </c>
      <c r="M271" s="189"/>
      <c r="N271" s="189"/>
      <c r="O271" s="189"/>
      <c r="P271" s="189"/>
      <c r="Q271" s="189"/>
    </row>
    <row r="272" spans="1:17" s="46" customFormat="1" x14ac:dyDescent="0.15">
      <c r="A272" s="195"/>
      <c r="B272" s="225"/>
      <c r="C272" s="209"/>
      <c r="D272" s="209"/>
      <c r="E272" s="209"/>
      <c r="F272" s="189"/>
      <c r="G272" s="189"/>
      <c r="H272" s="45" t="s">
        <v>121</v>
      </c>
      <c r="I272" s="45">
        <v>4</v>
      </c>
      <c r="J272" s="45">
        <v>22</v>
      </c>
      <c r="K272" s="47">
        <f>G267+2*IF((MAX(柱工程量计算!$E$3:$F$72)-$E$3)&gt;$D$3*J272,MAX($D$3*J272,0.5*MAX(柱工程量计算!$E$3:$F$72)+5*J272),MAX($D$3*J272,0.4*$D$3*J272+15*J272))</f>
        <v>1155</v>
      </c>
      <c r="L272" s="50">
        <f t="shared" si="5"/>
        <v>13.796613600000001</v>
      </c>
      <c r="M272" s="189"/>
      <c r="N272" s="189"/>
      <c r="O272" s="189"/>
      <c r="P272" s="189"/>
      <c r="Q272" s="189"/>
    </row>
    <row r="273" spans="2:17" x14ac:dyDescent="0.15">
      <c r="B273" s="225"/>
      <c r="C273" s="209"/>
      <c r="D273" s="209"/>
      <c r="E273" s="209"/>
      <c r="F273" s="189"/>
      <c r="G273" s="189"/>
      <c r="H273" s="45" t="s">
        <v>120</v>
      </c>
      <c r="I273" s="45">
        <v>3</v>
      </c>
      <c r="J273" s="45">
        <v>22</v>
      </c>
      <c r="K273" s="47">
        <f>G268+2*IF((MAX(柱工程量计算!$E$3:$F$72)-$E$3)&gt;$D$3*J273,MAX($D$3*J273,0.5*MAX(柱工程量计算!$E$3:$F$72)+5*J273),MAX($D$3*J273,0.4*$D$3*J273+15*J273))</f>
        <v>7155</v>
      </c>
      <c r="L273" s="50">
        <f t="shared" si="5"/>
        <v>64.100500200000013</v>
      </c>
      <c r="M273" s="189"/>
      <c r="N273" s="189"/>
      <c r="O273" s="189"/>
      <c r="P273" s="189"/>
      <c r="Q273" s="189"/>
    </row>
    <row r="274" spans="2:17" x14ac:dyDescent="0.15">
      <c r="B274" s="225"/>
      <c r="C274" s="209"/>
      <c r="D274" s="209"/>
      <c r="E274" s="209"/>
      <c r="F274" s="189"/>
      <c r="G274" s="189"/>
      <c r="H274" s="45" t="s">
        <v>107</v>
      </c>
      <c r="I274" s="45">
        <f>((G268-50*2)/200*2+1)*$I$6/2</f>
        <v>120</v>
      </c>
      <c r="J274" s="45">
        <f>IF(E268&lt;=350,6,8)</f>
        <v>6</v>
      </c>
      <c r="K274" s="47">
        <f>E268-2*$E$3+2*1.9*J274+2*MAX(10*J274,75)+2*J274</f>
        <v>374.8</v>
      </c>
      <c r="L274" s="50">
        <f t="shared" si="5"/>
        <v>9.9900691199999976</v>
      </c>
      <c r="M274" s="189"/>
      <c r="N274" s="189"/>
      <c r="O274" s="189"/>
      <c r="P274" s="189"/>
      <c r="Q274" s="189"/>
    </row>
    <row r="275" spans="2:17" x14ac:dyDescent="0.15">
      <c r="B275" s="225"/>
      <c r="C275" s="209"/>
      <c r="D275" s="209"/>
      <c r="E275" s="209"/>
      <c r="F275" s="189"/>
      <c r="G275" s="189"/>
      <c r="H275" s="45" t="s">
        <v>108</v>
      </c>
      <c r="I275" s="45">
        <f>2*((IF($B$3="一级",MAX(2*F268,500),MAX(1.5*F268,500))-50)/100+1)+(G268-2*IF($B$3="一级",MAX(2*F268,500),MAX(1.5*F268,500)))/200-1</f>
        <v>37.5</v>
      </c>
      <c r="J275" s="45">
        <v>10</v>
      </c>
      <c r="K275" s="45">
        <f>(E268-2*$E$3+2*J275)*2+(F268-2*$E$3+2*J275)*2+2*1.9*J275+2*MAX(10*J275,75)</f>
        <v>1578</v>
      </c>
      <c r="L275" s="50">
        <f t="shared" si="5"/>
        <v>36.510975000000002</v>
      </c>
      <c r="M275" s="189"/>
      <c r="N275" s="189"/>
      <c r="O275" s="189"/>
      <c r="P275" s="189"/>
      <c r="Q275" s="189"/>
    </row>
    <row r="276" spans="2:17" x14ac:dyDescent="0.15">
      <c r="B276" s="225"/>
      <c r="C276" s="209"/>
      <c r="D276" s="209"/>
      <c r="E276" s="209"/>
      <c r="F276" s="189"/>
      <c r="G276" s="189"/>
      <c r="H276" s="45" t="s">
        <v>132</v>
      </c>
      <c r="I276" s="45">
        <v>6</v>
      </c>
      <c r="J276" s="45">
        <v>12</v>
      </c>
      <c r="K276" s="47">
        <f>(E268-2*$E$3+2*J276)*2+(F268-2*$E$3+2*J276)*2+2*1.9*J276+2*MAX(10*J276,75)</f>
        <v>1641.6</v>
      </c>
      <c r="L276" s="50">
        <f t="shared" si="5"/>
        <v>8.751172608000001</v>
      </c>
      <c r="M276" s="189"/>
      <c r="N276" s="189"/>
      <c r="O276" s="189"/>
      <c r="P276" s="189"/>
      <c r="Q276" s="189"/>
    </row>
    <row r="277" spans="2:17" x14ac:dyDescent="0.15">
      <c r="B277" s="225"/>
      <c r="C277" s="209" t="s">
        <v>134</v>
      </c>
      <c r="D277" s="209">
        <v>1</v>
      </c>
      <c r="E277" s="209">
        <v>300</v>
      </c>
      <c r="F277" s="189">
        <v>400</v>
      </c>
      <c r="G277" s="189">
        <v>2450</v>
      </c>
      <c r="H277" s="45" t="s">
        <v>130</v>
      </c>
      <c r="I277" s="45">
        <v>2</v>
      </c>
      <c r="J277" s="45">
        <v>14</v>
      </c>
      <c r="K277" s="47">
        <f>G277+2*IF((MAX(柱工程量计算!$E$3:$F$72)-$E$3)&gt;$D$3*J277,MAX($D$3*J277,0.5*MAX(柱工程量计算!$E$3:$F$72)+5*J277,MAX($D$3*J277,0.4*$D$3*J277+15*J277)))</f>
        <v>3190</v>
      </c>
      <c r="L277" s="50">
        <f t="shared" si="5"/>
        <v>7.7154615999999976</v>
      </c>
      <c r="M277" s="189">
        <f>(2*F277+E277)*G277/10^6</f>
        <v>2.6949999999999998</v>
      </c>
      <c r="N277" s="189">
        <f>PRODUCT(E277:G280)/10^9</f>
        <v>0.29399999999999998</v>
      </c>
      <c r="O277" s="189">
        <f>SUM(L277:L280)</f>
        <v>42.474437951999988</v>
      </c>
      <c r="P277" s="189"/>
      <c r="Q277" s="189">
        <v>1</v>
      </c>
    </row>
    <row r="278" spans="2:17" x14ac:dyDescent="0.15">
      <c r="B278" s="225"/>
      <c r="C278" s="209"/>
      <c r="D278" s="209"/>
      <c r="E278" s="209"/>
      <c r="F278" s="189"/>
      <c r="G278" s="189"/>
      <c r="H278" s="45" t="s">
        <v>129</v>
      </c>
      <c r="I278" s="45">
        <v>2</v>
      </c>
      <c r="J278" s="45">
        <v>14</v>
      </c>
      <c r="K278" s="47">
        <f>$G$7+2*IF((MAX(柱工程量计算!$E$3:$F$72)-$E$3)&gt;$D$3*J278,MAX($D$3*J278,0.5*MAX(柱工程量计算!$E$3:$F$72)+5*J278),MAX($D$3*J278,0.4*$D$3*J278+15*J278))</f>
        <v>6740</v>
      </c>
      <c r="L278" s="50">
        <f t="shared" si="5"/>
        <v>16.301633599999995</v>
      </c>
      <c r="M278" s="189"/>
      <c r="N278" s="189"/>
      <c r="O278" s="189"/>
      <c r="P278" s="189"/>
      <c r="Q278" s="189"/>
    </row>
    <row r="279" spans="2:17" x14ac:dyDescent="0.15">
      <c r="B279" s="225"/>
      <c r="C279" s="209"/>
      <c r="D279" s="209"/>
      <c r="E279" s="209"/>
      <c r="F279" s="189"/>
      <c r="G279" s="189"/>
      <c r="H279" s="45" t="s">
        <v>108</v>
      </c>
      <c r="I279" s="45">
        <f>2*((IF($B$3="一级",MAX(2*F277,500),MAX(1.5*F277,500))-50)/100+1)+(G277-2*IF($B$3="一级",MAX(2*F277,500),MAX(1.5*F277,500)))/100-1</f>
        <v>24.5</v>
      </c>
      <c r="J279" s="45">
        <v>6</v>
      </c>
      <c r="K279" s="45">
        <f>(E277-2*$E$3+2*J279)*2+(F277-2*$E$3+2*J279)*2+2*1.9*J279+2*MAX(10*J279,75)</f>
        <v>1380.8</v>
      </c>
      <c r="L279" s="50">
        <f t="shared" si="5"/>
        <v>7.5142307519999996</v>
      </c>
      <c r="M279" s="189"/>
      <c r="N279" s="189"/>
      <c r="O279" s="189"/>
      <c r="P279" s="189"/>
      <c r="Q279" s="189"/>
    </row>
    <row r="280" spans="2:17" x14ac:dyDescent="0.15">
      <c r="B280" s="225"/>
      <c r="C280" s="209"/>
      <c r="D280" s="209"/>
      <c r="E280" s="209"/>
      <c r="F280" s="189"/>
      <c r="G280" s="189"/>
      <c r="H280" s="45" t="s">
        <v>132</v>
      </c>
      <c r="I280" s="45">
        <v>12</v>
      </c>
      <c r="J280" s="45">
        <v>10</v>
      </c>
      <c r="K280" s="47">
        <f>(E277-2*$E$3+2*J280)*2+(F277-2*$E$3+2*J280)*2+2*1.9*J280+2*MAX(10*J280,75)</f>
        <v>1478</v>
      </c>
      <c r="L280" s="50">
        <f t="shared" si="5"/>
        <v>10.943111999999999</v>
      </c>
      <c r="M280" s="189"/>
      <c r="N280" s="189"/>
      <c r="O280" s="189"/>
      <c r="P280" s="189"/>
      <c r="Q280" s="189"/>
    </row>
    <row r="281" spans="2:17" x14ac:dyDescent="0.15">
      <c r="B281" s="226" t="s">
        <v>143</v>
      </c>
      <c r="C281" s="220" t="s">
        <v>84</v>
      </c>
      <c r="D281" s="218" t="s">
        <v>106</v>
      </c>
      <c r="E281" s="219"/>
      <c r="F281" s="218">
        <v>15300</v>
      </c>
      <c r="G281" s="219"/>
      <c r="H281" s="50" t="s">
        <v>103</v>
      </c>
      <c r="I281" s="50">
        <v>2</v>
      </c>
      <c r="J281" s="50">
        <v>20</v>
      </c>
      <c r="K281" s="49">
        <f>F281+2*IF((MAX(柱工程量计算!$E$3:$F$72)-$E$3)&gt;$D$3*J281,MAX($D$3*J281,0.5*MAX(柱工程量计算!$E$3:$F$72)+5*J281,MAX($D$3*J281,0.4*$D$3*J281+15*J281)))</f>
        <v>16350</v>
      </c>
      <c r="L281" s="50">
        <f t="shared" si="5"/>
        <v>80.703600000000009</v>
      </c>
      <c r="M281" s="189">
        <f>(2*F283+E283)*G283/10^6</f>
        <v>7.5</v>
      </c>
      <c r="N281" s="189">
        <f>PRODUCT(E283:G287)/10^9</f>
        <v>0.75</v>
      </c>
      <c r="O281" s="189">
        <f>SUM(L281:L287)</f>
        <v>265.81110272000001</v>
      </c>
      <c r="P281" s="189">
        <v>1</v>
      </c>
      <c r="Q281" s="189"/>
    </row>
    <row r="282" spans="2:17" x14ac:dyDescent="0.15">
      <c r="B282" s="226"/>
      <c r="C282" s="221"/>
      <c r="D282" s="223"/>
      <c r="E282" s="224"/>
      <c r="F282" s="223"/>
      <c r="G282" s="224"/>
      <c r="H282" s="50" t="s">
        <v>100</v>
      </c>
      <c r="I282" s="50">
        <v>4</v>
      </c>
      <c r="J282" s="50">
        <v>14</v>
      </c>
      <c r="K282" s="49">
        <f>IF(F283&gt;=450,F281+2*IF((MAX(柱工程量计算!$E$3:$F$72)-$E$3)&gt;$D$3*J282,MAX($D$3*J282,0.5*MAX(柱工程量计算!$E$3:$F$72)+5*J282),MAX($D$3*J282,0.4*$D$3*J282+15*J282)),F281+15*J282)</f>
        <v>16040</v>
      </c>
      <c r="L282" s="50">
        <f t="shared" si="5"/>
        <v>77.589971199999979</v>
      </c>
      <c r="M282" s="189"/>
      <c r="N282" s="189"/>
      <c r="O282" s="189"/>
      <c r="P282" s="189"/>
      <c r="Q282" s="189"/>
    </row>
    <row r="283" spans="2:17" x14ac:dyDescent="0.15">
      <c r="B283" s="226"/>
      <c r="C283" s="221"/>
      <c r="D283" s="220">
        <v>1</v>
      </c>
      <c r="E283" s="220">
        <v>250</v>
      </c>
      <c r="F283" s="203">
        <v>500</v>
      </c>
      <c r="G283" s="203">
        <v>6000</v>
      </c>
      <c r="H283" s="50" t="s">
        <v>95</v>
      </c>
      <c r="I283" s="50">
        <v>3</v>
      </c>
      <c r="J283" s="50">
        <v>20</v>
      </c>
      <c r="K283" s="49">
        <f>G283/3+MAX($D$3*J283,0.4*$D$3*J283+15*J283,MAX(柱工程量计算!$E$3:$F$72)-$E$3+15*J283)</f>
        <v>2870</v>
      </c>
      <c r="L283" s="50">
        <f t="shared" si="5"/>
        <v>21.249479999999998</v>
      </c>
      <c r="M283" s="189"/>
      <c r="N283" s="189"/>
      <c r="O283" s="189"/>
      <c r="P283" s="189"/>
      <c r="Q283" s="189"/>
    </row>
    <row r="284" spans="2:17" x14ac:dyDescent="0.15">
      <c r="B284" s="226"/>
      <c r="C284" s="221"/>
      <c r="D284" s="221"/>
      <c r="E284" s="221"/>
      <c r="F284" s="201"/>
      <c r="G284" s="201"/>
      <c r="H284" s="50" t="s">
        <v>98</v>
      </c>
      <c r="I284" s="50">
        <v>3</v>
      </c>
      <c r="J284" s="50">
        <v>20</v>
      </c>
      <c r="K284" s="49">
        <f>G283/3+MAX($D$3*J284,0.4*$D$3*J284+15*J284,MAX(柱工程量计算!$E$3:$F$72)-$E$3+15*J284)</f>
        <v>2870</v>
      </c>
      <c r="L284" s="50">
        <f t="shared" si="5"/>
        <v>21.249479999999998</v>
      </c>
      <c r="M284" s="189"/>
      <c r="N284" s="189"/>
      <c r="O284" s="189"/>
      <c r="P284" s="189"/>
      <c r="Q284" s="189"/>
    </row>
    <row r="285" spans="2:17" x14ac:dyDescent="0.15">
      <c r="B285" s="226"/>
      <c r="C285" s="221"/>
      <c r="D285" s="221"/>
      <c r="E285" s="221"/>
      <c r="F285" s="201"/>
      <c r="G285" s="201"/>
      <c r="H285" s="50" t="s">
        <v>104</v>
      </c>
      <c r="I285" s="50">
        <v>4</v>
      </c>
      <c r="J285" s="50">
        <v>14</v>
      </c>
      <c r="K285" s="49">
        <f>G283+2*IF((MAX(柱工程量计算!$E$3:$F$72)-$E$3)&gt;$D$3*J285,MAX($D$3*J285,0.5*MAX(柱工程量计算!$E$3:$F$72)+5*J285),MAX($D$3*J285,0.4*$D$3*J285+15*J285))</f>
        <v>6740</v>
      </c>
      <c r="L285" s="50">
        <f t="shared" si="5"/>
        <v>32.603267199999991</v>
      </c>
      <c r="M285" s="189"/>
      <c r="N285" s="189"/>
      <c r="O285" s="189"/>
      <c r="P285" s="189"/>
      <c r="Q285" s="189"/>
    </row>
    <row r="286" spans="2:17" x14ac:dyDescent="0.15">
      <c r="B286" s="226"/>
      <c r="C286" s="221"/>
      <c r="D286" s="221"/>
      <c r="E286" s="221"/>
      <c r="F286" s="201"/>
      <c r="G286" s="201"/>
      <c r="H286" s="50" t="s">
        <v>107</v>
      </c>
      <c r="I286" s="50">
        <f>((G283-50*2)/200*2+1)*$I$6/2</f>
        <v>120</v>
      </c>
      <c r="J286" s="50">
        <f>IF(E283&lt;=350,6,8)</f>
        <v>6</v>
      </c>
      <c r="K286" s="49">
        <f>E283-2*$E$3+2*1.9*J286+2*MAX(10*J286,75)+2*J286</f>
        <v>374.8</v>
      </c>
      <c r="L286" s="50">
        <f t="shared" si="5"/>
        <v>9.9900691199999976</v>
      </c>
      <c r="M286" s="189"/>
      <c r="N286" s="189"/>
      <c r="O286" s="189"/>
      <c r="P286" s="189"/>
      <c r="Q286" s="189"/>
    </row>
    <row r="287" spans="2:17" x14ac:dyDescent="0.15">
      <c r="B287" s="226"/>
      <c r="C287" s="221"/>
      <c r="D287" s="222"/>
      <c r="E287" s="222"/>
      <c r="F287" s="202"/>
      <c r="G287" s="202"/>
      <c r="H287" s="50" t="s">
        <v>108</v>
      </c>
      <c r="I287" s="50">
        <f>2*((IF(B279="一级",MAX(2*F283,500),MAX(1.5*F283,500))-50)/100+1)+(G283-2*IF(B279="一级",MAX(2*F283,500),MAX(1.5*F283,500)))/200-1</f>
        <v>37.5</v>
      </c>
      <c r="J287" s="50">
        <v>8</v>
      </c>
      <c r="K287" s="50">
        <f>(E283-2*$E$3+2*J287)*2+(F283-2*$E$3+2*J287)*2+2*1.9*J287+2*MAX(10*J287,75)</f>
        <v>1514.4</v>
      </c>
      <c r="L287" s="50">
        <f t="shared" si="5"/>
        <v>22.425235200000003</v>
      </c>
      <c r="M287" s="189"/>
      <c r="N287" s="189"/>
      <c r="O287" s="189"/>
      <c r="P287" s="189"/>
      <c r="Q287" s="189"/>
    </row>
    <row r="288" spans="2:17" x14ac:dyDescent="0.15">
      <c r="B288" s="226"/>
      <c r="C288" s="221"/>
      <c r="D288" s="220">
        <v>1</v>
      </c>
      <c r="E288" s="220">
        <v>300</v>
      </c>
      <c r="F288" s="203">
        <v>350</v>
      </c>
      <c r="G288" s="203">
        <v>2100</v>
      </c>
      <c r="H288" s="50" t="s">
        <v>105</v>
      </c>
      <c r="I288" s="50">
        <v>4</v>
      </c>
      <c r="J288" s="50">
        <v>14</v>
      </c>
      <c r="K288" s="49">
        <f>G288-G288/3*2+150*2</f>
        <v>1000</v>
      </c>
      <c r="L288" s="50">
        <f t="shared" si="5"/>
        <v>4.8372799999999989</v>
      </c>
      <c r="M288" s="189">
        <f>(2*F288+E288)*G288/10^6</f>
        <v>2.1</v>
      </c>
      <c r="N288" s="189">
        <f>PRODUCT(E288:G293)/10^9</f>
        <v>0.2205</v>
      </c>
      <c r="O288" s="189">
        <f>SUM(L288:L293)</f>
        <v>42.947743442823523</v>
      </c>
      <c r="P288" s="189">
        <v>1</v>
      </c>
      <c r="Q288" s="189"/>
    </row>
    <row r="289" spans="1:17" x14ac:dyDescent="0.15">
      <c r="B289" s="226"/>
      <c r="C289" s="221"/>
      <c r="D289" s="221"/>
      <c r="E289" s="221"/>
      <c r="F289" s="201"/>
      <c r="G289" s="201"/>
      <c r="H289" s="50" t="s">
        <v>95</v>
      </c>
      <c r="I289" s="50">
        <v>4</v>
      </c>
      <c r="J289" s="50">
        <v>14</v>
      </c>
      <c r="K289" s="49">
        <f>G288/3+MAX($D$3*J289,0.4*$D$3*J289+15*J289,MAX(柱工程量计算!$E$3:$F$72)-$E$3+15*J289)</f>
        <v>1480</v>
      </c>
      <c r="L289" s="50">
        <f t="shared" si="5"/>
        <v>7.1591743999999977</v>
      </c>
      <c r="M289" s="189"/>
      <c r="N289" s="189"/>
      <c r="O289" s="189"/>
      <c r="P289" s="189"/>
      <c r="Q289" s="189"/>
    </row>
    <row r="290" spans="1:17" x14ac:dyDescent="0.15">
      <c r="B290" s="226"/>
      <c r="C290" s="221"/>
      <c r="D290" s="221"/>
      <c r="E290" s="221"/>
      <c r="F290" s="201"/>
      <c r="G290" s="201"/>
      <c r="H290" s="50" t="s">
        <v>98</v>
      </c>
      <c r="I290" s="50">
        <v>4</v>
      </c>
      <c r="J290" s="50">
        <v>14</v>
      </c>
      <c r="K290" s="49">
        <f>G288/3+MAX($D$3*J290,0.4*$D$3*J290+15*J290,MAX(柱工程量计算!$E$3:$F$72)-$E$3+15*J290)</f>
        <v>1480</v>
      </c>
      <c r="L290" s="50">
        <f t="shared" si="5"/>
        <v>7.1591743999999977</v>
      </c>
      <c r="M290" s="189"/>
      <c r="N290" s="189"/>
      <c r="O290" s="189"/>
      <c r="P290" s="189"/>
      <c r="Q290" s="189"/>
    </row>
    <row r="291" spans="1:17" x14ac:dyDescent="0.15">
      <c r="B291" s="226"/>
      <c r="C291" s="221"/>
      <c r="D291" s="221"/>
      <c r="E291" s="221"/>
      <c r="F291" s="201"/>
      <c r="G291" s="201"/>
      <c r="H291" s="50" t="s">
        <v>101</v>
      </c>
      <c r="I291" s="50">
        <v>3</v>
      </c>
      <c r="J291" s="50">
        <v>14</v>
      </c>
      <c r="K291" s="49">
        <f>G288+2*IF((MAX(柱工程量计算!$E$3:$F$72)-$E$3)&gt;$D$3*J291,MAX($D$3*J291,0.5*MAX(柱工程量计算!$E$3:$F$72)+5*J291),MAX($D$3*J291,0.4*$D$3*J291+15*J291))</f>
        <v>2840</v>
      </c>
      <c r="L291" s="50">
        <f t="shared" si="5"/>
        <v>10.303406399999998</v>
      </c>
      <c r="M291" s="189"/>
      <c r="N291" s="189"/>
      <c r="O291" s="189"/>
      <c r="P291" s="189"/>
      <c r="Q291" s="189"/>
    </row>
    <row r="292" spans="1:17" x14ac:dyDescent="0.15">
      <c r="B292" s="226"/>
      <c r="C292" s="221"/>
      <c r="D292" s="221"/>
      <c r="E292" s="221"/>
      <c r="F292" s="201"/>
      <c r="G292" s="201"/>
      <c r="H292" s="50" t="s">
        <v>107</v>
      </c>
      <c r="I292" s="50">
        <f>((G288-50*2)/200*2+1)*$I$6/2</f>
        <v>42</v>
      </c>
      <c r="J292" s="50">
        <f>IF(E288&lt;=350,6,8)</f>
        <v>6</v>
      </c>
      <c r="K292" s="49">
        <f>E288-2*$E$3+2*1.9*J292+2*MAX(10*J292,75)+2*J292</f>
        <v>424.8</v>
      </c>
      <c r="L292" s="50">
        <f t="shared" si="5"/>
        <v>3.9629761919999997</v>
      </c>
      <c r="M292" s="189"/>
      <c r="N292" s="189"/>
      <c r="O292" s="189"/>
      <c r="P292" s="189"/>
      <c r="Q292" s="189"/>
    </row>
    <row r="293" spans="1:17" x14ac:dyDescent="0.15">
      <c r="B293" s="226"/>
      <c r="C293" s="221"/>
      <c r="D293" s="222"/>
      <c r="E293" s="222"/>
      <c r="F293" s="202"/>
      <c r="G293" s="202"/>
      <c r="H293" s="50" t="s">
        <v>108</v>
      </c>
      <c r="I293" s="50">
        <f>2*((IF($B$3="一级",MAX(2*F288,500),MAX(1.5*F288,500))-50)/85+1)+(G288-2*IF($B$3="一级",MAX(2*F288,500),MAX(1.5*F288,500)))/170-1</f>
        <v>18.352941176470587</v>
      </c>
      <c r="J293" s="50">
        <v>8</v>
      </c>
      <c r="K293" s="50">
        <f>(E288-2*$E$3+2*J293)*2+(F288-2*$E$3+2*J293)*2+2*1.9*J293+2*MAX(10*J293,75)</f>
        <v>1314.4</v>
      </c>
      <c r="L293" s="50">
        <f t="shared" si="5"/>
        <v>9.5257320508235317</v>
      </c>
      <c r="M293" s="189"/>
      <c r="N293" s="189"/>
      <c r="O293" s="189"/>
      <c r="P293" s="189"/>
      <c r="Q293" s="189"/>
    </row>
    <row r="294" spans="1:17" x14ac:dyDescent="0.15">
      <c r="B294" s="226"/>
      <c r="C294" s="221"/>
      <c r="D294" s="209">
        <v>1</v>
      </c>
      <c r="E294" s="209">
        <v>250</v>
      </c>
      <c r="F294" s="189">
        <v>500</v>
      </c>
      <c r="G294" s="189">
        <v>6000</v>
      </c>
      <c r="H294" s="50" t="s">
        <v>111</v>
      </c>
      <c r="I294" s="50">
        <v>2</v>
      </c>
      <c r="J294" s="50">
        <v>20</v>
      </c>
      <c r="K294" s="49">
        <f>G294/3+MAX($D$3*J294,0.4*$D$3*J294+15*J294,MAX(柱工程量计算!$E$3:$F$72)-$E$3+15*J294)</f>
        <v>2870</v>
      </c>
      <c r="L294" s="50">
        <f t="shared" si="5"/>
        <v>14.166319999999999</v>
      </c>
      <c r="M294" s="189">
        <f>(2*F294+E294)*G294/10^6</f>
        <v>7.5</v>
      </c>
      <c r="N294" s="189">
        <f>PRODUCT(E294:G301)/10^9</f>
        <v>0.75</v>
      </c>
      <c r="O294" s="189">
        <f>SUM(L294:L301)</f>
        <v>114.32526272000001</v>
      </c>
      <c r="P294" s="189">
        <v>1</v>
      </c>
      <c r="Q294" s="189"/>
    </row>
    <row r="295" spans="1:17" s="46" customFormat="1" x14ac:dyDescent="0.15">
      <c r="A295" s="195"/>
      <c r="B295" s="226"/>
      <c r="C295" s="221"/>
      <c r="D295" s="209"/>
      <c r="E295" s="209"/>
      <c r="F295" s="189"/>
      <c r="G295" s="189"/>
      <c r="H295" s="50" t="s">
        <v>110</v>
      </c>
      <c r="I295" s="50">
        <v>1</v>
      </c>
      <c r="J295" s="50">
        <v>16</v>
      </c>
      <c r="K295" s="49">
        <f>G294/3+MAX($D$3*J295,0.4*$D$3*J295+15*J295,MAX(柱工程量计算!$E$3:$F$72)-$E$3+15*J295)</f>
        <v>2810</v>
      </c>
      <c r="L295" s="50">
        <f t="shared" si="5"/>
        <v>4.4384512000000003</v>
      </c>
      <c r="M295" s="189"/>
      <c r="N295" s="189"/>
      <c r="O295" s="189"/>
      <c r="P295" s="189"/>
      <c r="Q295" s="189"/>
    </row>
    <row r="296" spans="1:17" x14ac:dyDescent="0.15">
      <c r="B296" s="226"/>
      <c r="C296" s="221"/>
      <c r="D296" s="209"/>
      <c r="E296" s="209"/>
      <c r="F296" s="189"/>
      <c r="G296" s="189"/>
      <c r="H296" s="50" t="s">
        <v>144</v>
      </c>
      <c r="I296" s="50">
        <v>2</v>
      </c>
      <c r="J296" s="50">
        <v>20</v>
      </c>
      <c r="K296" s="49">
        <f>G294/3+MAX($D$3*J296,0.4*$D$3*J296+15*J296,MAX(柱工程量计算!$E$3:$F$72)-$E$3+15*J296)</f>
        <v>2870</v>
      </c>
      <c r="L296" s="50">
        <f t="shared" si="5"/>
        <v>14.166319999999999</v>
      </c>
      <c r="M296" s="189"/>
      <c r="N296" s="189"/>
      <c r="O296" s="189"/>
      <c r="P296" s="189"/>
      <c r="Q296" s="189"/>
    </row>
    <row r="297" spans="1:17" x14ac:dyDescent="0.15">
      <c r="B297" s="226"/>
      <c r="C297" s="221"/>
      <c r="D297" s="209"/>
      <c r="E297" s="209"/>
      <c r="F297" s="189"/>
      <c r="G297" s="189"/>
      <c r="H297" s="50" t="s">
        <v>145</v>
      </c>
      <c r="I297" s="50">
        <v>1</v>
      </c>
      <c r="J297" s="50">
        <v>16</v>
      </c>
      <c r="K297" s="49">
        <f>G294/4+MAX($D$3*J297,0.4*$D$3*J297+15*J297,MAX(柱工程量计算!$E$3:$F$72)-$E$3+15*J297)</f>
        <v>2310</v>
      </c>
      <c r="L297" s="50">
        <f t="shared" si="5"/>
        <v>3.6486912000000005</v>
      </c>
      <c r="M297" s="189"/>
      <c r="N297" s="189"/>
      <c r="O297" s="189"/>
      <c r="P297" s="189"/>
      <c r="Q297" s="189"/>
    </row>
    <row r="298" spans="1:17" x14ac:dyDescent="0.15">
      <c r="B298" s="226"/>
      <c r="C298" s="221"/>
      <c r="D298" s="209"/>
      <c r="E298" s="209"/>
      <c r="F298" s="189"/>
      <c r="G298" s="189"/>
      <c r="H298" s="50" t="s">
        <v>100</v>
      </c>
      <c r="I298" s="50">
        <v>4</v>
      </c>
      <c r="J298" s="50">
        <v>12</v>
      </c>
      <c r="K298" s="49">
        <f>IF(F294&gt;=450,G294+2*IF((MAX(柱工程量计算!$E$3:$F$72)-$E$3)&gt;$D$3*J298,MAX($D$3*J298,0.5*MAX(柱工程量计算!$E$3:$F$72)+5*J298),MAX($D$3*J298,0.4*$D$3*J298+15*J298)),G294+15*J298)</f>
        <v>6720</v>
      </c>
      <c r="L298" s="50">
        <f t="shared" si="5"/>
        <v>23.882342399999999</v>
      </c>
      <c r="M298" s="189"/>
      <c r="N298" s="189"/>
      <c r="O298" s="189"/>
      <c r="P298" s="189"/>
      <c r="Q298" s="189"/>
    </row>
    <row r="299" spans="1:17" x14ac:dyDescent="0.15">
      <c r="B299" s="226"/>
      <c r="C299" s="221"/>
      <c r="D299" s="209"/>
      <c r="E299" s="209"/>
      <c r="F299" s="189"/>
      <c r="G299" s="189"/>
      <c r="H299" s="50" t="s">
        <v>116</v>
      </c>
      <c r="I299" s="50">
        <v>2</v>
      </c>
      <c r="J299" s="50">
        <v>16</v>
      </c>
      <c r="K299" s="49">
        <f>G294+2*IF((MAX(柱工程量计算!$E$3:$F$72)-$E$3)&gt;$D$3*J299,MAX($D$3*J299,0.5*MAX(柱工程量计算!$E$3:$F$72)+5*J299),MAX($D$3*J299,0.4*$D$3*J299+15*J299))</f>
        <v>6840</v>
      </c>
      <c r="L299" s="50">
        <f t="shared" si="5"/>
        <v>21.607833600000003</v>
      </c>
      <c r="M299" s="189"/>
      <c r="N299" s="189"/>
      <c r="O299" s="189"/>
      <c r="P299" s="189"/>
      <c r="Q299" s="189"/>
    </row>
    <row r="300" spans="1:17" x14ac:dyDescent="0.15">
      <c r="B300" s="226"/>
      <c r="C300" s="221"/>
      <c r="D300" s="209"/>
      <c r="E300" s="209"/>
      <c r="F300" s="189"/>
      <c r="G300" s="189"/>
      <c r="H300" s="50" t="s">
        <v>107</v>
      </c>
      <c r="I300" s="50">
        <f>((G294-50*2)/200*2+1)*$I$6/2</f>
        <v>120</v>
      </c>
      <c r="J300" s="50">
        <f>IF(E294&lt;=350,6,8)</f>
        <v>6</v>
      </c>
      <c r="K300" s="49">
        <f>E294-2*$E$3+2*1.9*J300+2*MAX(10*J300,75)+2*J300</f>
        <v>374.8</v>
      </c>
      <c r="L300" s="50">
        <f t="shared" si="5"/>
        <v>9.9900691199999976</v>
      </c>
      <c r="M300" s="189"/>
      <c r="N300" s="189"/>
      <c r="O300" s="189"/>
      <c r="P300" s="189"/>
      <c r="Q300" s="189"/>
    </row>
    <row r="301" spans="1:17" x14ac:dyDescent="0.15">
      <c r="B301" s="226"/>
      <c r="C301" s="221"/>
      <c r="D301" s="209"/>
      <c r="E301" s="209"/>
      <c r="F301" s="189"/>
      <c r="G301" s="189"/>
      <c r="H301" s="50" t="s">
        <v>108</v>
      </c>
      <c r="I301" s="50">
        <f>2*((IF($B$3="一级",MAX(2*F294,500),MAX(1.5*F294,500))-50)/100+1)+(G294-2*IF($B$3="一级",MAX(2*F294,500),MAX(1.5*F294,500)))/200-1</f>
        <v>37.5</v>
      </c>
      <c r="J301" s="50">
        <v>8</v>
      </c>
      <c r="K301" s="50">
        <f>(E294-2*$E$3+2*J301)*2+(F294-2*$E$3+2*J301)*2+2*1.9*J301+2*MAX(10*J301,75)</f>
        <v>1514.4</v>
      </c>
      <c r="L301" s="50">
        <f t="shared" si="5"/>
        <v>22.425235200000003</v>
      </c>
      <c r="M301" s="189"/>
      <c r="N301" s="189"/>
      <c r="O301" s="189"/>
      <c r="P301" s="189"/>
      <c r="Q301" s="189"/>
    </row>
    <row r="302" spans="1:17" x14ac:dyDescent="0.15">
      <c r="B302" s="226"/>
      <c r="C302" s="220" t="s">
        <v>119</v>
      </c>
      <c r="D302" s="218" t="s">
        <v>106</v>
      </c>
      <c r="E302" s="219"/>
      <c r="F302" s="218">
        <v>15300</v>
      </c>
      <c r="G302" s="219"/>
      <c r="H302" s="50" t="s">
        <v>103</v>
      </c>
      <c r="I302" s="50">
        <v>2</v>
      </c>
      <c r="J302" s="50">
        <v>20</v>
      </c>
      <c r="K302" s="49">
        <f>F302+2*IF((MAX(柱工程量计算!$E$3:$F$72)-$E$3)&gt;$D$3*J302,MAX($D$3*J302,0.5*MAX(柱工程量计算!$E$3:$F$72)+5*J302,MAX($D$3*J302,0.4*$D$3*J302+15*J302)))</f>
        <v>16350</v>
      </c>
      <c r="L302" s="50">
        <f t="shared" si="5"/>
        <v>80.703600000000009</v>
      </c>
      <c r="M302" s="189">
        <f>(2*F303+E303)*G303/10^6</f>
        <v>7.5</v>
      </c>
      <c r="N302" s="189">
        <f>PRODUCT(E303:G309)/10^9</f>
        <v>0.75</v>
      </c>
      <c r="O302" s="189">
        <f>SUM(L302:L309)</f>
        <v>197.04339240000002</v>
      </c>
      <c r="P302" s="189">
        <v>1</v>
      </c>
      <c r="Q302" s="189"/>
    </row>
    <row r="303" spans="1:17" x14ac:dyDescent="0.15">
      <c r="B303" s="226"/>
      <c r="C303" s="221"/>
      <c r="D303" s="220">
        <v>1</v>
      </c>
      <c r="E303" s="220">
        <v>250</v>
      </c>
      <c r="F303" s="203">
        <v>500</v>
      </c>
      <c r="G303" s="203">
        <v>6000</v>
      </c>
      <c r="H303" s="50" t="s">
        <v>111</v>
      </c>
      <c r="I303" s="50">
        <v>2</v>
      </c>
      <c r="J303" s="50">
        <v>22</v>
      </c>
      <c r="K303" s="49">
        <f>G303/3+MAX($D$3*J303,0.4*$D$3*J303+15*J303,MAX(柱工程量计算!$E$3:$F$72)-$E$3+15*J303)</f>
        <v>2900</v>
      </c>
      <c r="L303" s="50">
        <f t="shared" si="5"/>
        <v>17.320424000000003</v>
      </c>
      <c r="M303" s="189"/>
      <c r="N303" s="189"/>
      <c r="O303" s="189"/>
      <c r="P303" s="189"/>
      <c r="Q303" s="189"/>
    </row>
    <row r="304" spans="1:17" x14ac:dyDescent="0.15">
      <c r="B304" s="226"/>
      <c r="C304" s="221"/>
      <c r="D304" s="221"/>
      <c r="E304" s="221"/>
      <c r="F304" s="201"/>
      <c r="G304" s="201"/>
      <c r="H304" s="50" t="s">
        <v>110</v>
      </c>
      <c r="I304" s="50">
        <v>2</v>
      </c>
      <c r="J304" s="50">
        <v>18</v>
      </c>
      <c r="K304" s="49">
        <f>G303/4+MAX($D$3*J304,0.4*$D$3*J304+15*J304,MAX(柱工程量计算!$E$3:$F$72)-$E$3+15*J304)</f>
        <v>2340</v>
      </c>
      <c r="L304" s="50">
        <f t="shared" si="5"/>
        <v>9.3556944000000009</v>
      </c>
      <c r="M304" s="189"/>
      <c r="N304" s="189"/>
      <c r="O304" s="189"/>
      <c r="P304" s="189"/>
      <c r="Q304" s="189"/>
    </row>
    <row r="305" spans="2:17" x14ac:dyDescent="0.15">
      <c r="B305" s="226"/>
      <c r="C305" s="221"/>
      <c r="D305" s="221"/>
      <c r="E305" s="221"/>
      <c r="F305" s="201"/>
      <c r="G305" s="201"/>
      <c r="H305" s="50" t="s">
        <v>146</v>
      </c>
      <c r="I305" s="50">
        <v>2</v>
      </c>
      <c r="J305" s="50">
        <v>22</v>
      </c>
      <c r="K305" s="49">
        <f>G303/3+MAX($D$3*J305,0.4*$D$3*J305+15*J305,MAX(柱工程量计算!$E$3:$F$72)-$E$3+15*J305)</f>
        <v>2900</v>
      </c>
      <c r="L305" s="50">
        <f t="shared" si="5"/>
        <v>17.320424000000003</v>
      </c>
      <c r="M305" s="189"/>
      <c r="N305" s="189"/>
      <c r="O305" s="189"/>
      <c r="P305" s="189"/>
      <c r="Q305" s="189"/>
    </row>
    <row r="306" spans="2:17" x14ac:dyDescent="0.15">
      <c r="B306" s="226"/>
      <c r="C306" s="221"/>
      <c r="D306" s="221"/>
      <c r="E306" s="221"/>
      <c r="F306" s="201"/>
      <c r="G306" s="201"/>
      <c r="H306" s="50" t="s">
        <v>113</v>
      </c>
      <c r="I306" s="50">
        <v>1</v>
      </c>
      <c r="J306" s="50">
        <v>20</v>
      </c>
      <c r="K306" s="49">
        <f>G303/4+MAX($D$3*J306,0.4*$D$3*J306+15*J306,MAX(柱工程量计算!$E$3:$F$72)-$E$3+15*J306)</f>
        <v>2370</v>
      </c>
      <c r="L306" s="50">
        <f t="shared" si="5"/>
        <v>5.8491599999999995</v>
      </c>
      <c r="M306" s="189"/>
      <c r="N306" s="189"/>
      <c r="O306" s="189"/>
      <c r="P306" s="189"/>
      <c r="Q306" s="189"/>
    </row>
    <row r="307" spans="2:17" x14ac:dyDescent="0.15">
      <c r="B307" s="226"/>
      <c r="C307" s="221"/>
      <c r="D307" s="221"/>
      <c r="E307" s="221"/>
      <c r="F307" s="201"/>
      <c r="G307" s="201"/>
      <c r="H307" s="50" t="s">
        <v>121</v>
      </c>
      <c r="I307" s="50">
        <v>2</v>
      </c>
      <c r="J307" s="50">
        <v>18</v>
      </c>
      <c r="K307" s="49">
        <f>G303+2*IF((MAX(柱工程量计算!$E$3:$F$72)-$E$3)&gt;$D$3*J307,MAX($D$3*J307,0.5*MAX(柱工程量计算!$E$3:$F$72)+5*J307),MAX($D$3*J307,0.4*$D$3*J307+15*J307))</f>
        <v>6945</v>
      </c>
      <c r="L307" s="50">
        <f t="shared" si="5"/>
        <v>27.767221200000005</v>
      </c>
      <c r="M307" s="189"/>
      <c r="N307" s="189"/>
      <c r="O307" s="189"/>
      <c r="P307" s="189"/>
      <c r="Q307" s="189"/>
    </row>
    <row r="308" spans="2:17" x14ac:dyDescent="0.15">
      <c r="B308" s="226"/>
      <c r="C308" s="221"/>
      <c r="D308" s="221"/>
      <c r="E308" s="221"/>
      <c r="F308" s="201"/>
      <c r="G308" s="201"/>
      <c r="H308" s="50" t="s">
        <v>120</v>
      </c>
      <c r="I308" s="50">
        <v>2</v>
      </c>
      <c r="J308" s="50">
        <v>14</v>
      </c>
      <c r="K308" s="49">
        <f>G303+2*IF((MAX(柱工程量计算!$E$3:$F$72)-$E$3)&gt;$D$3*J308,MAX($D$3*J308,0.5*MAX(柱工程量计算!$E$3:$F$72)+5*J308),MAX($D$3*J308,0.4*$D$3*J308+15*J308))</f>
        <v>6740</v>
      </c>
      <c r="L308" s="50">
        <f t="shared" si="5"/>
        <v>16.301633599999995</v>
      </c>
      <c r="M308" s="189"/>
      <c r="N308" s="189"/>
      <c r="O308" s="189"/>
      <c r="P308" s="189"/>
      <c r="Q308" s="189"/>
    </row>
    <row r="309" spans="2:17" x14ac:dyDescent="0.15">
      <c r="B309" s="226"/>
      <c r="C309" s="221"/>
      <c r="D309" s="222"/>
      <c r="E309" s="222"/>
      <c r="F309" s="202"/>
      <c r="G309" s="202"/>
      <c r="H309" s="50" t="s">
        <v>108</v>
      </c>
      <c r="I309" s="50">
        <f>2*((IF(B301="一级",MAX(2*F303,500),MAX(1.5*F303,500))-50)/100+1)+(G303-2*IF(B301="一级",MAX(2*F303,500),MAX(1.5*F303,500)))/200-1</f>
        <v>37.5</v>
      </c>
      <c r="J309" s="50">
        <v>8</v>
      </c>
      <c r="K309" s="50">
        <f>(E303-2*$E$3+2*J309)*2+(F303-2*$E$3+2*J309)*2+2*1.9*J309+2*MAX(10*J309,75)</f>
        <v>1514.4</v>
      </c>
      <c r="L309" s="50">
        <f t="shared" si="5"/>
        <v>22.425235200000003</v>
      </c>
      <c r="M309" s="189"/>
      <c r="N309" s="189"/>
      <c r="O309" s="189"/>
      <c r="P309" s="189"/>
      <c r="Q309" s="189"/>
    </row>
    <row r="310" spans="2:17" x14ac:dyDescent="0.15">
      <c r="B310" s="226"/>
      <c r="C310" s="221"/>
      <c r="D310" s="220">
        <v>1</v>
      </c>
      <c r="E310" s="220">
        <v>300</v>
      </c>
      <c r="F310" s="203">
        <v>350</v>
      </c>
      <c r="G310" s="203">
        <v>2100</v>
      </c>
      <c r="H310" s="50" t="s">
        <v>105</v>
      </c>
      <c r="I310" s="50">
        <v>3</v>
      </c>
      <c r="J310" s="50">
        <v>18</v>
      </c>
      <c r="K310" s="49">
        <f>G310-G310/3*2+150*2</f>
        <v>1000</v>
      </c>
      <c r="L310" s="50">
        <f t="shared" si="5"/>
        <v>5.9972400000000006</v>
      </c>
      <c r="M310" s="189">
        <f>(2*F310+E310)*G310/10^6</f>
        <v>2.1</v>
      </c>
      <c r="N310" s="189">
        <f>PRODUCT(E310:G314)/10^9</f>
        <v>0.2205</v>
      </c>
      <c r="O310" s="189">
        <f>SUM(L310:L314)</f>
        <v>44.297877650823537</v>
      </c>
      <c r="P310" s="189">
        <v>1</v>
      </c>
      <c r="Q310" s="189"/>
    </row>
    <row r="311" spans="2:17" x14ac:dyDescent="0.15">
      <c r="B311" s="226"/>
      <c r="C311" s="221"/>
      <c r="D311" s="221"/>
      <c r="E311" s="221"/>
      <c r="F311" s="201"/>
      <c r="G311" s="201"/>
      <c r="H311" s="50" t="s">
        <v>95</v>
      </c>
      <c r="I311" s="50">
        <v>3</v>
      </c>
      <c r="J311" s="50">
        <v>18</v>
      </c>
      <c r="K311" s="49">
        <f>G310/3+MAX($D$3*J311,0.4*$D$3*J311+15*J311,MAX(柱工程量计算!$E$3:$F$72)-$E$3+15*J311)</f>
        <v>1540</v>
      </c>
      <c r="L311" s="50">
        <f t="shared" si="5"/>
        <v>9.2357496000000019</v>
      </c>
      <c r="M311" s="189"/>
      <c r="N311" s="189"/>
      <c r="O311" s="189"/>
      <c r="P311" s="189"/>
      <c r="Q311" s="189"/>
    </row>
    <row r="312" spans="2:17" x14ac:dyDescent="0.15">
      <c r="B312" s="226"/>
      <c r="C312" s="221"/>
      <c r="D312" s="221"/>
      <c r="E312" s="221"/>
      <c r="F312" s="201"/>
      <c r="G312" s="201"/>
      <c r="H312" s="50" t="s">
        <v>98</v>
      </c>
      <c r="I312" s="50">
        <v>3</v>
      </c>
      <c r="J312" s="50">
        <v>18</v>
      </c>
      <c r="K312" s="49">
        <f>G310/3+MAX($D$3*J312,0.4*$D$3*J312+15*J312,MAX(柱工程量计算!$E$3:$F$72)-$E$3+15*J312)</f>
        <v>1540</v>
      </c>
      <c r="L312" s="50">
        <f t="shared" si="5"/>
        <v>9.2357496000000019</v>
      </c>
      <c r="M312" s="189"/>
      <c r="N312" s="189"/>
      <c r="O312" s="189"/>
      <c r="P312" s="189"/>
      <c r="Q312" s="189"/>
    </row>
    <row r="313" spans="2:17" x14ac:dyDescent="0.15">
      <c r="B313" s="226"/>
      <c r="C313" s="221"/>
      <c r="D313" s="221"/>
      <c r="E313" s="221"/>
      <c r="F313" s="201"/>
      <c r="G313" s="201"/>
      <c r="H313" s="50" t="s">
        <v>116</v>
      </c>
      <c r="I313" s="50">
        <v>3</v>
      </c>
      <c r="J313" s="50">
        <v>14</v>
      </c>
      <c r="K313" s="49">
        <f>G310+2*IF((MAX(柱工程量计算!$E$3:$F$72)-$E$3)&gt;$D$3*J313,MAX($D$3*J313,0.5*MAX(柱工程量计算!$E$3:$F$72)+5*J313),MAX($D$3*J313,0.4*$D$3*J313+15*J313))</f>
        <v>2840</v>
      </c>
      <c r="L313" s="50">
        <f t="shared" si="5"/>
        <v>10.303406399999998</v>
      </c>
      <c r="M313" s="189"/>
      <c r="N313" s="189"/>
      <c r="O313" s="189"/>
      <c r="P313" s="189"/>
      <c r="Q313" s="189"/>
    </row>
    <row r="314" spans="2:17" x14ac:dyDescent="0.15">
      <c r="B314" s="226"/>
      <c r="C314" s="221"/>
      <c r="D314" s="222"/>
      <c r="E314" s="222"/>
      <c r="F314" s="202"/>
      <c r="G314" s="202"/>
      <c r="H314" s="50" t="s">
        <v>108</v>
      </c>
      <c r="I314" s="50">
        <f>2*((IF($B$3="一级",MAX(2*F310,500),MAX(1.5*F310,500))-50)/85+1)+(G310-2*IF($B$3="一级",MAX(2*F310,500),MAX(1.5*F310,500)))/170-1</f>
        <v>18.352941176470587</v>
      </c>
      <c r="J314" s="50">
        <v>8</v>
      </c>
      <c r="K314" s="50">
        <f>(E310-2*$E$3+2*J314)*2+(F310-2*$E$3+2*J314)*2+2*1.9*J314+2*MAX(10*J314,75)</f>
        <v>1314.4</v>
      </c>
      <c r="L314" s="50">
        <f t="shared" si="5"/>
        <v>9.5257320508235317</v>
      </c>
      <c r="M314" s="189"/>
      <c r="N314" s="189"/>
      <c r="O314" s="189"/>
      <c r="P314" s="189"/>
      <c r="Q314" s="189"/>
    </row>
    <row r="315" spans="2:17" x14ac:dyDescent="0.15">
      <c r="B315" s="226"/>
      <c r="C315" s="221"/>
      <c r="D315" s="220">
        <v>1</v>
      </c>
      <c r="E315" s="220">
        <v>250</v>
      </c>
      <c r="F315" s="203">
        <v>500</v>
      </c>
      <c r="G315" s="203">
        <v>6000</v>
      </c>
      <c r="H315" s="50" t="s">
        <v>111</v>
      </c>
      <c r="I315" s="50">
        <v>2</v>
      </c>
      <c r="J315" s="50">
        <v>22</v>
      </c>
      <c r="K315" s="49">
        <f>G315/3+MAX($D$3*J315,0.4*$D$3*J315+15*J315,MAX(柱工程量计算!$E$3:$F$72)-$E$3+15*J315)</f>
        <v>2900</v>
      </c>
      <c r="L315" s="50">
        <f t="shared" si="5"/>
        <v>17.320424000000003</v>
      </c>
      <c r="M315" s="189">
        <f>(2*F315+E315)*G315/10^6</f>
        <v>7.5</v>
      </c>
      <c r="N315" s="189">
        <f>PRODUCT(E315:G321)/10^9</f>
        <v>0.75</v>
      </c>
      <c r="O315" s="189">
        <f>SUM(L315:L321)</f>
        <v>119.91641800000002</v>
      </c>
      <c r="P315" s="189">
        <v>1</v>
      </c>
      <c r="Q315" s="189"/>
    </row>
    <row r="316" spans="2:17" x14ac:dyDescent="0.15">
      <c r="B316" s="226"/>
      <c r="C316" s="221"/>
      <c r="D316" s="221"/>
      <c r="E316" s="221"/>
      <c r="F316" s="201"/>
      <c r="G316" s="201"/>
      <c r="H316" s="50" t="s">
        <v>110</v>
      </c>
      <c r="I316" s="50">
        <v>1</v>
      </c>
      <c r="J316" s="50">
        <v>20</v>
      </c>
      <c r="K316" s="49">
        <f>G315/3+MAX($D$3*J316,0.4*$D$3*J316+15*J316,MAX(柱工程量计算!$E$3:$F$72)-$E$3+15*J316)</f>
        <v>2870</v>
      </c>
      <c r="L316" s="50">
        <f t="shared" si="5"/>
        <v>7.0831599999999995</v>
      </c>
      <c r="M316" s="189"/>
      <c r="N316" s="189"/>
      <c r="O316" s="189"/>
      <c r="P316" s="189"/>
      <c r="Q316" s="189"/>
    </row>
    <row r="317" spans="2:17" x14ac:dyDescent="0.15">
      <c r="B317" s="226"/>
      <c r="C317" s="221"/>
      <c r="D317" s="221"/>
      <c r="E317" s="221"/>
      <c r="F317" s="201"/>
      <c r="G317" s="201"/>
      <c r="H317" s="50" t="s">
        <v>146</v>
      </c>
      <c r="I317" s="50">
        <v>2</v>
      </c>
      <c r="J317" s="50">
        <v>22</v>
      </c>
      <c r="K317" s="49">
        <f>G315/3+MAX($D$3*J317,0.4*$D$3*J317+15*J317,MAX(柱工程量计算!$E$3:$F$72)-$E$3+15*J317)</f>
        <v>2900</v>
      </c>
      <c r="L317" s="50">
        <f t="shared" si="5"/>
        <v>17.320424000000003</v>
      </c>
      <c r="M317" s="189"/>
      <c r="N317" s="189"/>
      <c r="O317" s="189"/>
      <c r="P317" s="189"/>
      <c r="Q317" s="189"/>
    </row>
    <row r="318" spans="2:17" x14ac:dyDescent="0.15">
      <c r="B318" s="226"/>
      <c r="C318" s="221"/>
      <c r="D318" s="221"/>
      <c r="E318" s="221"/>
      <c r="F318" s="201"/>
      <c r="G318" s="201"/>
      <c r="H318" s="50" t="s">
        <v>113</v>
      </c>
      <c r="I318" s="50">
        <v>2</v>
      </c>
      <c r="J318" s="50">
        <v>20</v>
      </c>
      <c r="K318" s="49">
        <f>G315/4+MAX($D$3*J318,0.4*$D$3*J318+15*J318,MAX(柱工程量计算!$E$3:$F$72)-$E$3+15*J318)</f>
        <v>2370</v>
      </c>
      <c r="L318" s="50">
        <f t="shared" si="5"/>
        <v>11.698319999999999</v>
      </c>
      <c r="M318" s="189"/>
      <c r="N318" s="189"/>
      <c r="O318" s="189"/>
      <c r="P318" s="189"/>
      <c r="Q318" s="189"/>
    </row>
    <row r="319" spans="2:17" x14ac:dyDescent="0.15">
      <c r="B319" s="226"/>
      <c r="C319" s="221"/>
      <c r="D319" s="221"/>
      <c r="E319" s="221"/>
      <c r="F319" s="201"/>
      <c r="G319" s="201"/>
      <c r="H319" s="50" t="s">
        <v>115</v>
      </c>
      <c r="I319" s="50">
        <v>2</v>
      </c>
      <c r="J319" s="50">
        <v>18</v>
      </c>
      <c r="K319" s="49">
        <f>G315+2*IF((MAX(柱工程量计算!$E$3:$F$72)-$E$3)&gt;$D$3*J319,MAX($D$3*J319,0.5*MAX(柱工程量计算!$E$3:$F$72)+5*J319),MAX($D$3*J319,0.4*$D$3*J319+15*J319))</f>
        <v>6945</v>
      </c>
      <c r="L319" s="50">
        <f t="shared" si="5"/>
        <v>27.767221200000005</v>
      </c>
      <c r="M319" s="189"/>
      <c r="N319" s="189"/>
      <c r="O319" s="189"/>
      <c r="P319" s="189"/>
      <c r="Q319" s="189"/>
    </row>
    <row r="320" spans="2:17" x14ac:dyDescent="0.15">
      <c r="B320" s="226"/>
      <c r="C320" s="221"/>
      <c r="D320" s="221"/>
      <c r="E320" s="221"/>
      <c r="F320" s="201"/>
      <c r="G320" s="201"/>
      <c r="H320" s="50" t="s">
        <v>116</v>
      </c>
      <c r="I320" s="50">
        <v>2</v>
      </c>
      <c r="J320" s="50">
        <v>14</v>
      </c>
      <c r="K320" s="49">
        <f>G315+2*IF((MAX(柱工程量计算!$E$3:$F$72)-$E$3)&gt;$D$3*J320,MAX($D$3*J320,0.5*MAX(柱工程量计算!$E$3:$F$72)+5*J320),MAX($D$3*J320,0.4*$D$3*J320+15*J320))</f>
        <v>6740</v>
      </c>
      <c r="L320" s="50">
        <f t="shared" si="5"/>
        <v>16.301633599999995</v>
      </c>
      <c r="M320" s="189"/>
      <c r="N320" s="189"/>
      <c r="O320" s="189"/>
      <c r="P320" s="189"/>
      <c r="Q320" s="189"/>
    </row>
    <row r="321" spans="2:17" x14ac:dyDescent="0.15">
      <c r="B321" s="226"/>
      <c r="C321" s="222"/>
      <c r="D321" s="222"/>
      <c r="E321" s="222"/>
      <c r="F321" s="202"/>
      <c r="G321" s="202"/>
      <c r="H321" s="50" t="s">
        <v>108</v>
      </c>
      <c r="I321" s="50">
        <f>2*((IF($B$3="一级",MAX(2*F315,500),MAX(1.5*F315,500))-50)/100+1)+(G315-2*IF($B$3="一级",MAX(2*F315,500),MAX(1.5*F315,500)))/200-1</f>
        <v>37.5</v>
      </c>
      <c r="J321" s="50">
        <v>8</v>
      </c>
      <c r="K321" s="50">
        <f>(E315-2*$E$3+2*J321)*2+(F315-2*$E$3+2*J321)*2+2*1.9*J321+2*MAX(10*J321,75)</f>
        <v>1514.4</v>
      </c>
      <c r="L321" s="50">
        <f t="shared" si="5"/>
        <v>22.425235200000003</v>
      </c>
      <c r="M321" s="189"/>
      <c r="N321" s="189"/>
      <c r="O321" s="189"/>
      <c r="P321" s="189"/>
      <c r="Q321" s="189"/>
    </row>
    <row r="322" spans="2:17" x14ac:dyDescent="0.15">
      <c r="B322" s="226"/>
      <c r="C322" s="220" t="s">
        <v>123</v>
      </c>
      <c r="D322" s="218" t="s">
        <v>106</v>
      </c>
      <c r="E322" s="219"/>
      <c r="F322" s="218">
        <v>15300</v>
      </c>
      <c r="G322" s="219"/>
      <c r="H322" s="50" t="s">
        <v>103</v>
      </c>
      <c r="I322" s="50">
        <v>2</v>
      </c>
      <c r="J322" s="50">
        <v>22</v>
      </c>
      <c r="K322" s="49">
        <f>F322+2*IF((MAX(柱工程量计算!$E$3:$F$72)-$E$3)&gt;$D$3*J322,MAX($D$3*J322,0.5*MAX(柱工程量计算!$E$3:$F$72)+5*J322,MAX($D$3*J322,0.4*$D$3*J322+15*J322)))</f>
        <v>15300</v>
      </c>
      <c r="L322" s="50">
        <f t="shared" si="5"/>
        <v>91.380168000000012</v>
      </c>
      <c r="M322" s="189">
        <f>(2*F323+E323)*G323/10^6</f>
        <v>7.5</v>
      </c>
      <c r="N322" s="189">
        <f>PRODUCT(E323:G329)/10^9</f>
        <v>0.75</v>
      </c>
      <c r="O322" s="189">
        <f>SUM(L322:L329)</f>
        <v>207.71996040000005</v>
      </c>
      <c r="P322" s="189"/>
      <c r="Q322" s="189">
        <v>1</v>
      </c>
    </row>
    <row r="323" spans="2:17" x14ac:dyDescent="0.15">
      <c r="B323" s="226"/>
      <c r="C323" s="221"/>
      <c r="D323" s="220">
        <v>1</v>
      </c>
      <c r="E323" s="220">
        <v>250</v>
      </c>
      <c r="F323" s="203">
        <v>500</v>
      </c>
      <c r="G323" s="203">
        <v>6000</v>
      </c>
      <c r="H323" s="50" t="s">
        <v>111</v>
      </c>
      <c r="I323" s="50">
        <v>2</v>
      </c>
      <c r="J323" s="50">
        <v>22</v>
      </c>
      <c r="K323" s="49">
        <f>G323/3+MAX($D$3*J323,0.4*$D$3*J323+15*J323,MAX(柱工程量计算!$E$3:$F$72)-$E$3+15*J323)</f>
        <v>2900</v>
      </c>
      <c r="L323" s="50">
        <f t="shared" si="5"/>
        <v>17.320424000000003</v>
      </c>
      <c r="M323" s="189"/>
      <c r="N323" s="189"/>
      <c r="O323" s="189"/>
      <c r="P323" s="189"/>
      <c r="Q323" s="189"/>
    </row>
    <row r="324" spans="2:17" x14ac:dyDescent="0.15">
      <c r="B324" s="226"/>
      <c r="C324" s="221"/>
      <c r="D324" s="221"/>
      <c r="E324" s="221"/>
      <c r="F324" s="201"/>
      <c r="G324" s="201"/>
      <c r="H324" s="50" t="s">
        <v>110</v>
      </c>
      <c r="I324" s="50">
        <v>2</v>
      </c>
      <c r="J324" s="50">
        <v>18</v>
      </c>
      <c r="K324" s="49">
        <f>G323/4+MAX($D$3*J324,0.4*$D$3*J324+15*J324,MAX(柱工程量计算!$E$3:$F$72)-$E$3+15*J324)</f>
        <v>2340</v>
      </c>
      <c r="L324" s="50">
        <f t="shared" si="5"/>
        <v>9.3556944000000009</v>
      </c>
      <c r="M324" s="189"/>
      <c r="N324" s="189"/>
      <c r="O324" s="189"/>
      <c r="P324" s="189"/>
      <c r="Q324" s="189"/>
    </row>
    <row r="325" spans="2:17" x14ac:dyDescent="0.15">
      <c r="B325" s="226"/>
      <c r="C325" s="221"/>
      <c r="D325" s="221"/>
      <c r="E325" s="221"/>
      <c r="F325" s="201"/>
      <c r="G325" s="201"/>
      <c r="H325" s="50" t="s">
        <v>146</v>
      </c>
      <c r="I325" s="50">
        <v>2</v>
      </c>
      <c r="J325" s="50">
        <v>22</v>
      </c>
      <c r="K325" s="49">
        <f>G323/3+MAX($D$3*J325,0.4*$D$3*J325+15*J325,MAX(柱工程量计算!$E$3:$F$72)-$E$3+15*J325)</f>
        <v>2900</v>
      </c>
      <c r="L325" s="50">
        <f t="shared" si="5"/>
        <v>17.320424000000003</v>
      </c>
      <c r="M325" s="189"/>
      <c r="N325" s="189"/>
      <c r="O325" s="189"/>
      <c r="P325" s="189"/>
      <c r="Q325" s="189"/>
    </row>
    <row r="326" spans="2:17" x14ac:dyDescent="0.15">
      <c r="B326" s="226"/>
      <c r="C326" s="221"/>
      <c r="D326" s="221"/>
      <c r="E326" s="221"/>
      <c r="F326" s="201"/>
      <c r="G326" s="201"/>
      <c r="H326" s="50" t="s">
        <v>113</v>
      </c>
      <c r="I326" s="50">
        <v>1</v>
      </c>
      <c r="J326" s="50">
        <v>20</v>
      </c>
      <c r="K326" s="49">
        <f>G323/4+MAX($D$3*J326,0.4*$D$3*J326+15*J326,MAX(柱工程量计算!$E$3:$F$72)-$E$3+15*J326)</f>
        <v>2370</v>
      </c>
      <c r="L326" s="50">
        <f t="shared" si="5"/>
        <v>5.8491599999999995</v>
      </c>
      <c r="M326" s="189"/>
      <c r="N326" s="189"/>
      <c r="O326" s="189"/>
      <c r="P326" s="189"/>
      <c r="Q326" s="189"/>
    </row>
    <row r="327" spans="2:17" x14ac:dyDescent="0.15">
      <c r="B327" s="226"/>
      <c r="C327" s="221"/>
      <c r="D327" s="221"/>
      <c r="E327" s="221"/>
      <c r="F327" s="201"/>
      <c r="G327" s="201"/>
      <c r="H327" s="50" t="s">
        <v>121</v>
      </c>
      <c r="I327" s="50">
        <v>2</v>
      </c>
      <c r="J327" s="50">
        <v>18</v>
      </c>
      <c r="K327" s="49">
        <f>G323+2*IF((MAX(柱工程量计算!$E$3:$F$72)-$E$3)&gt;$D$3*J327,MAX($D$3*J327,0.5*MAX(柱工程量计算!$E$3:$F$72)+5*J327),MAX($D$3*J327,0.4*$D$3*J327+15*J327))</f>
        <v>6945</v>
      </c>
      <c r="L327" s="50">
        <f t="shared" si="5"/>
        <v>27.767221200000005</v>
      </c>
      <c r="M327" s="189"/>
      <c r="N327" s="189"/>
      <c r="O327" s="189"/>
      <c r="P327" s="189"/>
      <c r="Q327" s="189"/>
    </row>
    <row r="328" spans="2:17" x14ac:dyDescent="0.15">
      <c r="B328" s="226"/>
      <c r="C328" s="221"/>
      <c r="D328" s="221"/>
      <c r="E328" s="221"/>
      <c r="F328" s="201"/>
      <c r="G328" s="201"/>
      <c r="H328" s="50" t="s">
        <v>120</v>
      </c>
      <c r="I328" s="50">
        <v>2</v>
      </c>
      <c r="J328" s="50">
        <v>14</v>
      </c>
      <c r="K328" s="49">
        <f>G323+2*IF((MAX(柱工程量计算!$E$3:$F$72)-$E$3)&gt;$D$3*J328,MAX($D$3*J328,0.5*MAX(柱工程量计算!$E$3:$F$72)+5*J328),MAX($D$3*J328,0.4*$D$3*J328+15*J328))</f>
        <v>6740</v>
      </c>
      <c r="L328" s="50">
        <f t="shared" si="5"/>
        <v>16.301633599999995</v>
      </c>
      <c r="M328" s="189"/>
      <c r="N328" s="189"/>
      <c r="O328" s="189"/>
      <c r="P328" s="189"/>
      <c r="Q328" s="189"/>
    </row>
    <row r="329" spans="2:17" x14ac:dyDescent="0.15">
      <c r="B329" s="226"/>
      <c r="C329" s="221"/>
      <c r="D329" s="222"/>
      <c r="E329" s="222"/>
      <c r="F329" s="202"/>
      <c r="G329" s="202"/>
      <c r="H329" s="50" t="s">
        <v>108</v>
      </c>
      <c r="I329" s="50">
        <f>2*((IF($B$3="一级",MAX(2*F323,500),MAX(1.5*F323,500))-50)/100+1)+(G323-2*IF($B$3="一级",MAX(2*F323,500),MAX(1.5*F323,500)))/200-1</f>
        <v>37.5</v>
      </c>
      <c r="J329" s="50">
        <v>8</v>
      </c>
      <c r="K329" s="50">
        <f>(E323-2*$E$3+2*J329)*2+(F323-2*$E$3+2*J329)*2+2*1.9*J329+2*MAX(10*J329,75)</f>
        <v>1514.4</v>
      </c>
      <c r="L329" s="50">
        <f t="shared" si="5"/>
        <v>22.425235200000003</v>
      </c>
      <c r="M329" s="189"/>
      <c r="N329" s="189"/>
      <c r="O329" s="189"/>
      <c r="P329" s="189"/>
      <c r="Q329" s="189"/>
    </row>
    <row r="330" spans="2:17" x14ac:dyDescent="0.15">
      <c r="B330" s="226"/>
      <c r="C330" s="221"/>
      <c r="D330" s="220">
        <v>1</v>
      </c>
      <c r="E330" s="220">
        <v>300</v>
      </c>
      <c r="F330" s="203">
        <v>350</v>
      </c>
      <c r="G330" s="203">
        <v>2100</v>
      </c>
      <c r="H330" s="50" t="s">
        <v>105</v>
      </c>
      <c r="I330" s="50">
        <v>3</v>
      </c>
      <c r="J330" s="50">
        <v>18</v>
      </c>
      <c r="K330" s="49">
        <f>G330-G330/3*2+150*2</f>
        <v>1000</v>
      </c>
      <c r="L330" s="50">
        <f t="shared" si="5"/>
        <v>5.9972400000000006</v>
      </c>
      <c r="M330" s="189">
        <f>(2*F330+E330)*G330/10^6</f>
        <v>2.1</v>
      </c>
      <c r="N330" s="189">
        <f>PRODUCT(E330:G334)/10^9</f>
        <v>0.2205</v>
      </c>
      <c r="O330" s="189">
        <f>SUM(L330:L334)</f>
        <v>44.297877650823537</v>
      </c>
      <c r="P330" s="189"/>
      <c r="Q330" s="189">
        <v>1</v>
      </c>
    </row>
    <row r="331" spans="2:17" x14ac:dyDescent="0.15">
      <c r="B331" s="226"/>
      <c r="C331" s="221"/>
      <c r="D331" s="221"/>
      <c r="E331" s="221"/>
      <c r="F331" s="201"/>
      <c r="G331" s="201"/>
      <c r="H331" s="50" t="s">
        <v>95</v>
      </c>
      <c r="I331" s="50">
        <v>3</v>
      </c>
      <c r="J331" s="50">
        <v>18</v>
      </c>
      <c r="K331" s="49">
        <f>G330/3+MAX($D$3*J331,0.4*$D$3*J331+15*J331,MAX(柱工程量计算!$E$3:$F$72)-$E$3+15*J331)</f>
        <v>1540</v>
      </c>
      <c r="L331" s="50">
        <f t="shared" si="5"/>
        <v>9.2357496000000019</v>
      </c>
      <c r="M331" s="189"/>
      <c r="N331" s="189"/>
      <c r="O331" s="189"/>
      <c r="P331" s="189"/>
      <c r="Q331" s="189"/>
    </row>
    <row r="332" spans="2:17" x14ac:dyDescent="0.15">
      <c r="B332" s="226"/>
      <c r="C332" s="221"/>
      <c r="D332" s="221"/>
      <c r="E332" s="221"/>
      <c r="F332" s="201"/>
      <c r="G332" s="201"/>
      <c r="H332" s="50" t="s">
        <v>98</v>
      </c>
      <c r="I332" s="50">
        <v>3</v>
      </c>
      <c r="J332" s="50">
        <v>18</v>
      </c>
      <c r="K332" s="49">
        <f>G330/3+MAX($D$3*J332,0.4*$D$3*J332+15*J332,MAX(柱工程量计算!$E$3:$F$72)-$E$3+15*J332)</f>
        <v>1540</v>
      </c>
      <c r="L332" s="50">
        <f t="shared" si="5"/>
        <v>9.2357496000000019</v>
      </c>
      <c r="M332" s="189"/>
      <c r="N332" s="189"/>
      <c r="O332" s="189"/>
      <c r="P332" s="189"/>
      <c r="Q332" s="189"/>
    </row>
    <row r="333" spans="2:17" x14ac:dyDescent="0.15">
      <c r="B333" s="226"/>
      <c r="C333" s="221"/>
      <c r="D333" s="221"/>
      <c r="E333" s="221"/>
      <c r="F333" s="201"/>
      <c r="G333" s="201"/>
      <c r="H333" s="50" t="s">
        <v>116</v>
      </c>
      <c r="I333" s="50">
        <v>3</v>
      </c>
      <c r="J333" s="50">
        <v>14</v>
      </c>
      <c r="K333" s="49">
        <f>G330+2*IF((MAX(柱工程量计算!$E$3:$F$72)-$E$3)&gt;$D$3*J333,MAX($D$3*J333,0.5*MAX(柱工程量计算!$E$3:$F$72)+5*J333),MAX($D$3*J333,0.4*$D$3*J333+15*J333))</f>
        <v>2840</v>
      </c>
      <c r="L333" s="50">
        <f t="shared" si="5"/>
        <v>10.303406399999998</v>
      </c>
      <c r="M333" s="189"/>
      <c r="N333" s="189"/>
      <c r="O333" s="189"/>
      <c r="P333" s="189"/>
      <c r="Q333" s="189"/>
    </row>
    <row r="334" spans="2:17" x14ac:dyDescent="0.15">
      <c r="B334" s="226"/>
      <c r="C334" s="221"/>
      <c r="D334" s="222"/>
      <c r="E334" s="222"/>
      <c r="F334" s="202"/>
      <c r="G334" s="202"/>
      <c r="H334" s="50" t="s">
        <v>108</v>
      </c>
      <c r="I334" s="50">
        <f>2*((IF($B$3="一级",MAX(2*F330,500),MAX(1.5*F330,500))-50)/85+1)+(G330-2*IF($B$3="一级",MAX(2*F330,500),MAX(1.5*F330,500)))/170-1</f>
        <v>18.352941176470587</v>
      </c>
      <c r="J334" s="50">
        <v>8</v>
      </c>
      <c r="K334" s="50">
        <f>(E330-2*$E$3+2*J334)*2+(F330-2*$E$3+2*J334)*2+2*1.9*J334+2*MAX(10*J334,75)</f>
        <v>1314.4</v>
      </c>
      <c r="L334" s="50">
        <f t="shared" ref="L334:L397" si="6">I334*(J334/10)^2*0.617*K334/1000</f>
        <v>9.5257320508235317</v>
      </c>
      <c r="M334" s="189"/>
      <c r="N334" s="189"/>
      <c r="O334" s="189"/>
      <c r="P334" s="189"/>
      <c r="Q334" s="189"/>
    </row>
    <row r="335" spans="2:17" x14ac:dyDescent="0.15">
      <c r="B335" s="226"/>
      <c r="C335" s="221"/>
      <c r="D335" s="220">
        <v>1</v>
      </c>
      <c r="E335" s="220">
        <v>250</v>
      </c>
      <c r="F335" s="203">
        <v>500</v>
      </c>
      <c r="G335" s="203">
        <v>6000</v>
      </c>
      <c r="H335" s="50" t="s">
        <v>112</v>
      </c>
      <c r="I335" s="50">
        <v>3</v>
      </c>
      <c r="J335" s="50">
        <v>20</v>
      </c>
      <c r="K335" s="49">
        <f>G335/3+MAX($D$3*J335,0.4*$D$3*J335+15*J335,MAX(柱工程量计算!$E$3:$F$72)-$E$3+15*J335)</f>
        <v>2870</v>
      </c>
      <c r="L335" s="50">
        <f t="shared" si="6"/>
        <v>21.249479999999998</v>
      </c>
      <c r="M335" s="189">
        <f>(2*F335+E335)*G335/10^6</f>
        <v>7.5</v>
      </c>
      <c r="N335" s="189">
        <f>PRODUCT(E335:G339)/10^9</f>
        <v>0.75</v>
      </c>
      <c r="O335" s="189">
        <f>SUM(L335:L339)</f>
        <v>99.937217599999997</v>
      </c>
      <c r="P335" s="189"/>
      <c r="Q335" s="189">
        <v>1</v>
      </c>
    </row>
    <row r="336" spans="2:17" x14ac:dyDescent="0.15">
      <c r="B336" s="226"/>
      <c r="C336" s="221"/>
      <c r="D336" s="221"/>
      <c r="E336" s="221"/>
      <c r="F336" s="201"/>
      <c r="G336" s="201"/>
      <c r="H336" s="50" t="s">
        <v>146</v>
      </c>
      <c r="I336" s="50">
        <v>2</v>
      </c>
      <c r="J336" s="50">
        <v>20</v>
      </c>
      <c r="K336" s="49">
        <f>G335/3+MAX($D$3*J336,0.4*$D$3*J336+15*J336,MAX(柱工程量计算!$E$3:$F$72)-$E$3+15*J336)</f>
        <v>2870</v>
      </c>
      <c r="L336" s="50">
        <f t="shared" si="6"/>
        <v>14.166319999999999</v>
      </c>
      <c r="M336" s="189"/>
      <c r="N336" s="189"/>
      <c r="O336" s="189"/>
      <c r="P336" s="189"/>
      <c r="Q336" s="189"/>
    </row>
    <row r="337" spans="2:17" x14ac:dyDescent="0.15">
      <c r="B337" s="226"/>
      <c r="C337" s="221"/>
      <c r="D337" s="221"/>
      <c r="E337" s="221"/>
      <c r="F337" s="201"/>
      <c r="G337" s="201"/>
      <c r="H337" s="50" t="s">
        <v>113</v>
      </c>
      <c r="I337" s="50">
        <v>2</v>
      </c>
      <c r="J337" s="50">
        <v>16</v>
      </c>
      <c r="K337" s="49">
        <f>G335/4+MAX($D$3*J337,0.4*$D$3*J337+15*J337,MAX(柱工程量计算!$E$3:$F$72)-$E$3+15*J337)</f>
        <v>2310</v>
      </c>
      <c r="L337" s="50">
        <f t="shared" si="6"/>
        <v>7.2973824000000009</v>
      </c>
      <c r="M337" s="189"/>
      <c r="N337" s="189"/>
      <c r="O337" s="189"/>
      <c r="P337" s="189"/>
      <c r="Q337" s="189"/>
    </row>
    <row r="338" spans="2:17" x14ac:dyDescent="0.15">
      <c r="B338" s="226"/>
      <c r="C338" s="221"/>
      <c r="D338" s="221"/>
      <c r="E338" s="221"/>
      <c r="F338" s="201"/>
      <c r="G338" s="201"/>
      <c r="H338" s="50" t="s">
        <v>114</v>
      </c>
      <c r="I338" s="50">
        <v>2</v>
      </c>
      <c r="J338" s="50">
        <v>20</v>
      </c>
      <c r="K338" s="49">
        <f>G335+2*IF((MAX(柱工程量计算!$E$3:$F$72)-$E$3)&gt;$D$3*J338,MAX($D$3*J338,0.5*MAX(柱工程量计算!$E$3:$F$72)+5*J338),MAX($D$3*J338,0.4*$D$3*J338+15*J338))</f>
        <v>7050</v>
      </c>
      <c r="L338" s="50">
        <f t="shared" si="6"/>
        <v>34.7988</v>
      </c>
      <c r="M338" s="189"/>
      <c r="N338" s="189"/>
      <c r="O338" s="189"/>
      <c r="P338" s="189"/>
      <c r="Q338" s="189"/>
    </row>
    <row r="339" spans="2:17" x14ac:dyDescent="0.15">
      <c r="B339" s="226"/>
      <c r="C339" s="222"/>
      <c r="D339" s="222"/>
      <c r="E339" s="222"/>
      <c r="F339" s="202"/>
      <c r="G339" s="202"/>
      <c r="H339" s="50" t="s">
        <v>108</v>
      </c>
      <c r="I339" s="50">
        <f>2*((IF($B$3="一级",MAX(2*F335,500),MAX(1.5*F335,500))-50)/100+1)+(G335-2*IF($B$3="一级",MAX(2*F335,500),MAX(1.5*F335,500)))/200-1</f>
        <v>37.5</v>
      </c>
      <c r="J339" s="50">
        <v>8</v>
      </c>
      <c r="K339" s="50">
        <f>(E335-2*$E$3+2*J339)*2+(F335-2*$E$3+2*J339)*2+2*1.9*J339+2*MAX(10*J339,75)</f>
        <v>1514.4</v>
      </c>
      <c r="L339" s="50">
        <f t="shared" si="6"/>
        <v>22.425235200000003</v>
      </c>
      <c r="M339" s="189"/>
      <c r="N339" s="189"/>
      <c r="O339" s="189"/>
      <c r="P339" s="189"/>
      <c r="Q339" s="189"/>
    </row>
    <row r="340" spans="2:17" x14ac:dyDescent="0.15">
      <c r="B340" s="226"/>
      <c r="C340" s="220" t="s">
        <v>124</v>
      </c>
      <c r="D340" s="218" t="s">
        <v>106</v>
      </c>
      <c r="E340" s="219"/>
      <c r="F340" s="218">
        <v>15300</v>
      </c>
      <c r="G340" s="219"/>
      <c r="H340" s="50" t="s">
        <v>103</v>
      </c>
      <c r="I340" s="50">
        <v>2</v>
      </c>
      <c r="J340" s="50">
        <v>22</v>
      </c>
      <c r="K340" s="49">
        <f>F340+2*IF((MAX(柱工程量计算!$E$3:$F$72)-$E$3)&gt;$D$3*J340,MAX($D$3*J340,0.5*MAX(柱工程量计算!$E$3:$F$72)+5*J340,MAX($D$3*J340,0.4*$D$3*J340+15*J340)))</f>
        <v>15300</v>
      </c>
      <c r="L340" s="50">
        <f t="shared" si="6"/>
        <v>91.380168000000012</v>
      </c>
      <c r="M340" s="189">
        <f>(2*F341+E341)*G341/10^6</f>
        <v>7.5</v>
      </c>
      <c r="N340" s="189">
        <f>PRODUCT(E341:G346)/10^9</f>
        <v>0.75</v>
      </c>
      <c r="O340" s="189">
        <f>SUM(L340:L346)</f>
        <v>207.02447800000004</v>
      </c>
      <c r="P340" s="189"/>
      <c r="Q340" s="189">
        <v>1</v>
      </c>
    </row>
    <row r="341" spans="2:17" x14ac:dyDescent="0.15">
      <c r="B341" s="226"/>
      <c r="C341" s="221"/>
      <c r="D341" s="220">
        <v>1</v>
      </c>
      <c r="E341" s="220">
        <v>250</v>
      </c>
      <c r="F341" s="203">
        <v>500</v>
      </c>
      <c r="G341" s="203">
        <v>6000</v>
      </c>
      <c r="H341" s="50" t="s">
        <v>95</v>
      </c>
      <c r="I341" s="50">
        <v>3</v>
      </c>
      <c r="J341" s="50">
        <v>22</v>
      </c>
      <c r="K341" s="49">
        <f>G341/3+MAX($D$3*J341,0.4*$D$3*J341+15*J341,MAX(柱工程量计算!$E$3:$F$72)-$E$3+15*J341)</f>
        <v>2900</v>
      </c>
      <c r="L341" s="50">
        <f t="shared" si="6"/>
        <v>25.980636000000008</v>
      </c>
      <c r="M341" s="189"/>
      <c r="N341" s="189"/>
      <c r="O341" s="189"/>
      <c r="P341" s="189"/>
      <c r="Q341" s="189"/>
    </row>
    <row r="342" spans="2:17" x14ac:dyDescent="0.15">
      <c r="B342" s="226"/>
      <c r="C342" s="221"/>
      <c r="D342" s="221"/>
      <c r="E342" s="221"/>
      <c r="F342" s="201"/>
      <c r="G342" s="201"/>
      <c r="H342" s="50" t="s">
        <v>146</v>
      </c>
      <c r="I342" s="50">
        <v>2</v>
      </c>
      <c r="J342" s="50">
        <v>22</v>
      </c>
      <c r="K342" s="49">
        <f>G341/3+MAX($D$3*J342,0.4*$D$3*J342+15*J342,MAX(柱工程量计算!$E$3:$F$72)-$E$3+15*J342)</f>
        <v>2900</v>
      </c>
      <c r="L342" s="50">
        <f t="shared" si="6"/>
        <v>17.320424000000003</v>
      </c>
      <c r="M342" s="189"/>
      <c r="N342" s="189"/>
      <c r="O342" s="189"/>
      <c r="P342" s="189"/>
      <c r="Q342" s="189"/>
    </row>
    <row r="343" spans="2:17" x14ac:dyDescent="0.15">
      <c r="B343" s="226"/>
      <c r="C343" s="221"/>
      <c r="D343" s="221"/>
      <c r="E343" s="221"/>
      <c r="F343" s="201"/>
      <c r="G343" s="201"/>
      <c r="H343" s="50" t="s">
        <v>113</v>
      </c>
      <c r="I343" s="50">
        <v>1</v>
      </c>
      <c r="J343" s="50">
        <v>20</v>
      </c>
      <c r="K343" s="49">
        <f>G341/4+MAX($D$3*J343,0.4*$D$3*J343+15*J343,MAX(柱工程量计算!$E$3:$F$72)-$E$3+15*J343)</f>
        <v>2370</v>
      </c>
      <c r="L343" s="50">
        <f t="shared" si="6"/>
        <v>5.8491599999999995</v>
      </c>
      <c r="M343" s="189"/>
      <c r="N343" s="189"/>
      <c r="O343" s="189"/>
      <c r="P343" s="189"/>
      <c r="Q343" s="189"/>
    </row>
    <row r="344" spans="2:17" x14ac:dyDescent="0.15">
      <c r="B344" s="226"/>
      <c r="C344" s="221"/>
      <c r="D344" s="221"/>
      <c r="E344" s="221"/>
      <c r="F344" s="201"/>
      <c r="G344" s="201"/>
      <c r="H344" s="50" t="s">
        <v>121</v>
      </c>
      <c r="I344" s="50">
        <v>2</v>
      </c>
      <c r="J344" s="50">
        <v>18</v>
      </c>
      <c r="K344" s="49">
        <f>G341+2*IF((MAX(柱工程量计算!$E$3:$F$72)-$E$3)&gt;$D$3*J344,MAX($D$3*J344,0.5*MAX(柱工程量计算!$E$3:$F$72)+5*J344),MAX($D$3*J344,0.4*$D$3*J344+15*J344))</f>
        <v>6945</v>
      </c>
      <c r="L344" s="50">
        <f t="shared" si="6"/>
        <v>27.767221200000005</v>
      </c>
      <c r="M344" s="189"/>
      <c r="N344" s="189"/>
      <c r="O344" s="189"/>
      <c r="P344" s="189"/>
      <c r="Q344" s="189"/>
    </row>
    <row r="345" spans="2:17" x14ac:dyDescent="0.15">
      <c r="B345" s="226"/>
      <c r="C345" s="221"/>
      <c r="D345" s="221"/>
      <c r="E345" s="221"/>
      <c r="F345" s="201"/>
      <c r="G345" s="201"/>
      <c r="H345" s="50" t="s">
        <v>120</v>
      </c>
      <c r="I345" s="50">
        <v>2</v>
      </c>
      <c r="J345" s="50">
        <v>14</v>
      </c>
      <c r="K345" s="49">
        <f>G341+2*IF((MAX(柱工程量计算!$E$3:$F$72)-$E$3)&gt;$D$3*J345,MAX($D$3*J345,0.5*MAX(柱工程量计算!$E$3:$F$72)+5*J345),MAX($D$3*J345,0.4*$D$3*J345+15*J345))</f>
        <v>6740</v>
      </c>
      <c r="L345" s="50">
        <f t="shared" si="6"/>
        <v>16.301633599999995</v>
      </c>
      <c r="M345" s="189"/>
      <c r="N345" s="189"/>
      <c r="O345" s="189"/>
      <c r="P345" s="189"/>
      <c r="Q345" s="189"/>
    </row>
    <row r="346" spans="2:17" x14ac:dyDescent="0.15">
      <c r="B346" s="226"/>
      <c r="C346" s="221"/>
      <c r="D346" s="222"/>
      <c r="E346" s="222"/>
      <c r="F346" s="202"/>
      <c r="G346" s="202"/>
      <c r="H346" s="50" t="s">
        <v>108</v>
      </c>
      <c r="I346" s="52">
        <f>2*((IF($B$3="一级",MAX(2*F341,500),MAX(1.5*F341,500))-50)/100+1)+(G341-2*IF($B$3="一级",MAX(2*F341,500),MAX(1.5*F341,500)))/200-1</f>
        <v>37.5</v>
      </c>
      <c r="J346" s="50">
        <v>8</v>
      </c>
      <c r="K346" s="50">
        <f>(E341-2*$E$3+2*J346)*2+(F341-2*$E$3+2*J346)*2+2*1.9*J346+2*MAX(10*J346,75)</f>
        <v>1514.4</v>
      </c>
      <c r="L346" s="50">
        <f t="shared" si="6"/>
        <v>22.425235200000003</v>
      </c>
      <c r="M346" s="189"/>
      <c r="N346" s="189"/>
      <c r="O346" s="189"/>
      <c r="P346" s="189"/>
      <c r="Q346" s="189"/>
    </row>
    <row r="347" spans="2:17" x14ac:dyDescent="0.15">
      <c r="B347" s="226"/>
      <c r="C347" s="221"/>
      <c r="D347" s="220">
        <v>1</v>
      </c>
      <c r="E347" s="220">
        <v>300</v>
      </c>
      <c r="F347" s="203">
        <v>350</v>
      </c>
      <c r="G347" s="203">
        <v>2100</v>
      </c>
      <c r="H347" s="50" t="s">
        <v>105</v>
      </c>
      <c r="I347" s="50">
        <v>3</v>
      </c>
      <c r="J347" s="50">
        <v>18</v>
      </c>
      <c r="K347" s="49">
        <f>G347-G347/3*2+150*2</f>
        <v>1000</v>
      </c>
      <c r="L347" s="50">
        <f t="shared" si="6"/>
        <v>5.9972400000000006</v>
      </c>
      <c r="M347" s="189">
        <f>(2*F347+E347)*G347/10^6</f>
        <v>2.1</v>
      </c>
      <c r="N347" s="189">
        <f>PRODUCT(E347:G352)/10^9</f>
        <v>0.2205</v>
      </c>
      <c r="O347" s="189">
        <f>SUM(L347:L352)</f>
        <v>46.716517650823533</v>
      </c>
      <c r="P347" s="189"/>
      <c r="Q347" s="189">
        <v>1</v>
      </c>
    </row>
    <row r="348" spans="2:17" x14ac:dyDescent="0.15">
      <c r="B348" s="226"/>
      <c r="C348" s="221"/>
      <c r="D348" s="221"/>
      <c r="E348" s="221"/>
      <c r="F348" s="201"/>
      <c r="G348" s="201"/>
      <c r="H348" s="50" t="s">
        <v>95</v>
      </c>
      <c r="I348" s="50">
        <v>3</v>
      </c>
      <c r="J348" s="50">
        <v>18</v>
      </c>
      <c r="K348" s="49">
        <f>G347/3+MAX($D$3*J348,0.4*$D$3*J348+15*J348,MAX(柱工程量计算!$E$3:$F$72)-$E$3+15*J348)</f>
        <v>1540</v>
      </c>
      <c r="L348" s="50">
        <f t="shared" si="6"/>
        <v>9.2357496000000019</v>
      </c>
      <c r="M348" s="189"/>
      <c r="N348" s="189"/>
      <c r="O348" s="189"/>
      <c r="P348" s="189"/>
      <c r="Q348" s="189"/>
    </row>
    <row r="349" spans="2:17" x14ac:dyDescent="0.15">
      <c r="B349" s="226"/>
      <c r="C349" s="221"/>
      <c r="D349" s="221"/>
      <c r="E349" s="221"/>
      <c r="F349" s="201"/>
      <c r="G349" s="201"/>
      <c r="H349" s="50" t="s">
        <v>98</v>
      </c>
      <c r="I349" s="50">
        <v>3</v>
      </c>
      <c r="J349" s="50">
        <v>18</v>
      </c>
      <c r="K349" s="49">
        <f>G347/3+MAX($D$3*J349,0.4*$D$3*J349+15*J349,MAX(柱工程量计算!$E$3:$F$72)-$E$3+15*J349)</f>
        <v>1540</v>
      </c>
      <c r="L349" s="50">
        <f t="shared" si="6"/>
        <v>9.2357496000000019</v>
      </c>
      <c r="M349" s="189"/>
      <c r="N349" s="189"/>
      <c r="O349" s="189"/>
      <c r="P349" s="189"/>
      <c r="Q349" s="189"/>
    </row>
    <row r="350" spans="2:17" x14ac:dyDescent="0.15">
      <c r="B350" s="226"/>
      <c r="C350" s="221"/>
      <c r="D350" s="221"/>
      <c r="E350" s="221"/>
      <c r="F350" s="201"/>
      <c r="G350" s="201"/>
      <c r="H350" s="50" t="s">
        <v>116</v>
      </c>
      <c r="I350" s="50">
        <v>2</v>
      </c>
      <c r="J350" s="50">
        <v>16</v>
      </c>
      <c r="K350" s="49">
        <f>G347+2*IF((MAX(柱工程量计算!$E$3:$F$72)-$E$3)&gt;$D$3*J350,MAX($D$3*J350,0.5*MAX(柱工程量计算!$E$3:$F$72)+5*J350),MAX($D$3*J350,0.4*$D$3*J350+15*J350))</f>
        <v>2940</v>
      </c>
      <c r="L350" s="50">
        <f t="shared" si="6"/>
        <v>9.2875776000000023</v>
      </c>
      <c r="M350" s="189"/>
      <c r="N350" s="189"/>
      <c r="O350" s="189"/>
      <c r="P350" s="189"/>
      <c r="Q350" s="189"/>
    </row>
    <row r="351" spans="2:17" x14ac:dyDescent="0.15">
      <c r="B351" s="226"/>
      <c r="C351" s="221"/>
      <c r="D351" s="221"/>
      <c r="E351" s="221"/>
      <c r="F351" s="201"/>
      <c r="G351" s="201"/>
      <c r="H351" s="50" t="s">
        <v>115</v>
      </c>
      <c r="I351" s="50">
        <v>1</v>
      </c>
      <c r="J351" s="50">
        <v>14</v>
      </c>
      <c r="K351" s="49">
        <f>G347+2*IF((MAX(柱工程量计算!$E$3:$F$72)-$E$3)&gt;$D$3*J351,MAX($D$3*J351,0.5*MAX(柱工程量计算!$E$3:$F$72)+5*J351),MAX($D$3*J351,0.4*$D$3*J351+15*J351))</f>
        <v>2840</v>
      </c>
      <c r="L351" s="50">
        <f t="shared" si="6"/>
        <v>3.434468799999999</v>
      </c>
      <c r="M351" s="189"/>
      <c r="N351" s="189"/>
      <c r="O351" s="189"/>
      <c r="P351" s="189"/>
      <c r="Q351" s="189"/>
    </row>
    <row r="352" spans="2:17" x14ac:dyDescent="0.15">
      <c r="B352" s="226"/>
      <c r="C352" s="221"/>
      <c r="D352" s="222"/>
      <c r="E352" s="222"/>
      <c r="F352" s="202"/>
      <c r="G352" s="202"/>
      <c r="H352" s="50" t="s">
        <v>108</v>
      </c>
      <c r="I352" s="50">
        <f>2*((IF($B$3="一级",MAX(2*F347,500),MAX(1.5*F347,500))-50)/85+1)+(G347-2*IF($B$3="一级",MAX(2*F347,500),MAX(1.5*F347,500)))/170-1</f>
        <v>18.352941176470587</v>
      </c>
      <c r="J352" s="50">
        <v>8</v>
      </c>
      <c r="K352" s="50">
        <f>(E347-2*$E$3+2*J352)*2+(F347-2*$E$3+2*J352)*2+2*1.9*J352+2*MAX(10*J352,75)</f>
        <v>1314.4</v>
      </c>
      <c r="L352" s="50">
        <f t="shared" si="6"/>
        <v>9.5257320508235317</v>
      </c>
      <c r="M352" s="189"/>
      <c r="N352" s="189"/>
      <c r="O352" s="189"/>
      <c r="P352" s="189"/>
      <c r="Q352" s="189"/>
    </row>
    <row r="353" spans="2:17" x14ac:dyDescent="0.15">
      <c r="B353" s="226"/>
      <c r="C353" s="221"/>
      <c r="D353" s="220">
        <v>1</v>
      </c>
      <c r="E353" s="220">
        <v>250</v>
      </c>
      <c r="F353" s="203">
        <v>500</v>
      </c>
      <c r="G353" s="203">
        <v>6000</v>
      </c>
      <c r="H353" s="50" t="s">
        <v>112</v>
      </c>
      <c r="I353" s="50">
        <v>2</v>
      </c>
      <c r="J353" s="50">
        <v>22</v>
      </c>
      <c r="K353" s="49">
        <f>G353/3+MAX($D$3*J353,0.4*$D$3*J353+15*J353,MAX(柱工程量计算!$E$3:$F$72)-$E$3+15*J353)</f>
        <v>2900</v>
      </c>
      <c r="L353" s="50">
        <f t="shared" si="6"/>
        <v>17.320424000000003</v>
      </c>
      <c r="M353" s="189">
        <f>(2*F353+E353)*G353/10^6</f>
        <v>7.5</v>
      </c>
      <c r="N353" s="189">
        <f>PRODUCT(E353:G359)/10^9</f>
        <v>0.75</v>
      </c>
      <c r="O353" s="189">
        <f>SUM(L353:L359)</f>
        <v>104.51066840000001</v>
      </c>
      <c r="P353" s="189"/>
      <c r="Q353" s="189">
        <v>1</v>
      </c>
    </row>
    <row r="354" spans="2:17" x14ac:dyDescent="0.15">
      <c r="B354" s="226"/>
      <c r="C354" s="221"/>
      <c r="D354" s="221"/>
      <c r="E354" s="221"/>
      <c r="F354" s="201"/>
      <c r="G354" s="201"/>
      <c r="H354" s="50" t="s">
        <v>122</v>
      </c>
      <c r="I354" s="50">
        <v>1</v>
      </c>
      <c r="J354" s="50">
        <v>18</v>
      </c>
      <c r="K354" s="49">
        <f>G353/3+MAX($D$3*J354,0.4*$D$3*J354+15*J354,MAX(柱工程量计算!$E$3:$F$72)-$E$3+15*J354)</f>
        <v>2840</v>
      </c>
      <c r="L354" s="50">
        <f t="shared" si="6"/>
        <v>5.6773872000000001</v>
      </c>
      <c r="M354" s="189"/>
      <c r="N354" s="189"/>
      <c r="O354" s="189"/>
      <c r="P354" s="189"/>
      <c r="Q354" s="189"/>
    </row>
    <row r="355" spans="2:17" x14ac:dyDescent="0.15">
      <c r="B355" s="226"/>
      <c r="C355" s="221"/>
      <c r="D355" s="221"/>
      <c r="E355" s="221"/>
      <c r="F355" s="201"/>
      <c r="G355" s="201"/>
      <c r="H355" s="50" t="s">
        <v>117</v>
      </c>
      <c r="I355" s="50">
        <v>2</v>
      </c>
      <c r="J355" s="50">
        <v>22</v>
      </c>
      <c r="K355" s="49">
        <f>G353/3+MAX($D$3*J355,0.4*$D$3*J355+15*J355,MAX(柱工程量计算!$E$3:$F$72)-$E$3+15*J355)</f>
        <v>2900</v>
      </c>
      <c r="L355" s="50">
        <f t="shared" si="6"/>
        <v>17.320424000000003</v>
      </c>
      <c r="M355" s="189"/>
      <c r="N355" s="189"/>
      <c r="O355" s="189"/>
      <c r="P355" s="189"/>
      <c r="Q355" s="189"/>
    </row>
    <row r="356" spans="2:17" x14ac:dyDescent="0.15">
      <c r="B356" s="226"/>
      <c r="C356" s="221"/>
      <c r="D356" s="221"/>
      <c r="E356" s="221"/>
      <c r="F356" s="201"/>
      <c r="G356" s="201"/>
      <c r="H356" s="50" t="s">
        <v>118</v>
      </c>
      <c r="I356" s="50">
        <v>1</v>
      </c>
      <c r="J356" s="50">
        <v>20</v>
      </c>
      <c r="K356" s="49">
        <f>G353/4+MAX($D$3*J356,0.4*$D$3*J356+15*J356,MAX(柱工程量计算!$E$3:$F$72)-$E$3+15*J356)</f>
        <v>2370</v>
      </c>
      <c r="L356" s="50">
        <f t="shared" si="6"/>
        <v>5.8491599999999995</v>
      </c>
      <c r="M356" s="189"/>
      <c r="N356" s="189"/>
      <c r="O356" s="189"/>
      <c r="P356" s="189"/>
      <c r="Q356" s="189"/>
    </row>
    <row r="357" spans="2:17" x14ac:dyDescent="0.15">
      <c r="B357" s="226"/>
      <c r="C357" s="221"/>
      <c r="D357" s="221"/>
      <c r="E357" s="221"/>
      <c r="F357" s="201"/>
      <c r="G357" s="201"/>
      <c r="H357" s="50" t="s">
        <v>115</v>
      </c>
      <c r="I357" s="50">
        <v>2</v>
      </c>
      <c r="J357" s="50">
        <v>18</v>
      </c>
      <c r="K357" s="49">
        <f>G353+2*IF((MAX(柱工程量计算!$E$3:$F$72)-$E$3)&gt;$D$3*J357,MAX($D$3*J357,0.5*MAX(柱工程量计算!$E$3:$F$72)+5*J357),MAX($D$3*J357,0.4*$D$3*J357+15*J357))</f>
        <v>6945</v>
      </c>
      <c r="L357" s="50">
        <f t="shared" si="6"/>
        <v>27.767221200000005</v>
      </c>
      <c r="M357" s="189"/>
      <c r="N357" s="189"/>
      <c r="O357" s="189"/>
      <c r="P357" s="189"/>
      <c r="Q357" s="189"/>
    </row>
    <row r="358" spans="2:17" x14ac:dyDescent="0.15">
      <c r="B358" s="226"/>
      <c r="C358" s="221"/>
      <c r="D358" s="221"/>
      <c r="E358" s="221"/>
      <c r="F358" s="201"/>
      <c r="G358" s="201"/>
      <c r="H358" s="50" t="s">
        <v>116</v>
      </c>
      <c r="I358" s="50">
        <v>1</v>
      </c>
      <c r="J358" s="50">
        <v>14</v>
      </c>
      <c r="K358" s="49">
        <f>G353+2*IF((MAX(柱工程量计算!$E$3:$F$72)-$E$3)&gt;$D$3*J358,MAX($D$3*J358,0.5*MAX(柱工程量计算!$E$3:$F$72)+5*J358),MAX($D$3*J358,0.4*$D$3*J358+15*J358))</f>
        <v>6740</v>
      </c>
      <c r="L358" s="50">
        <f t="shared" si="6"/>
        <v>8.1508167999999976</v>
      </c>
      <c r="M358" s="189"/>
      <c r="N358" s="189"/>
      <c r="O358" s="189"/>
      <c r="P358" s="189"/>
      <c r="Q358" s="189"/>
    </row>
    <row r="359" spans="2:17" x14ac:dyDescent="0.15">
      <c r="B359" s="226"/>
      <c r="C359" s="221"/>
      <c r="D359" s="221"/>
      <c r="E359" s="221"/>
      <c r="F359" s="201"/>
      <c r="G359" s="201"/>
      <c r="H359" s="52" t="s">
        <v>108</v>
      </c>
      <c r="I359" s="52">
        <f>2*((IF($B$3="一级",MAX(2*F353,500),MAX(1.5*F353,500))-50)/100+1)+(G353-2*IF($B$3="一级",MAX(2*F353,500),MAX(1.5*F353,500)))/200-1</f>
        <v>37.5</v>
      </c>
      <c r="J359" s="52">
        <v>8</v>
      </c>
      <c r="K359" s="52">
        <f>(E353-2*$E$3+2*J359)*2+(F353-2*$E$3+2*J359)*2+2*1.9*J359+2*MAX(10*J359,75)</f>
        <v>1514.4</v>
      </c>
      <c r="L359" s="50">
        <f t="shared" si="6"/>
        <v>22.425235200000003</v>
      </c>
      <c r="M359" s="189"/>
      <c r="N359" s="189"/>
      <c r="O359" s="189"/>
      <c r="P359" s="189"/>
      <c r="Q359" s="189"/>
    </row>
    <row r="360" spans="2:17" x14ac:dyDescent="0.15">
      <c r="B360" s="226"/>
      <c r="C360" s="220" t="s">
        <v>125</v>
      </c>
      <c r="D360" s="218" t="s">
        <v>106</v>
      </c>
      <c r="E360" s="219"/>
      <c r="F360" s="218">
        <v>15300</v>
      </c>
      <c r="G360" s="219"/>
      <c r="H360" s="50" t="s">
        <v>103</v>
      </c>
      <c r="I360" s="50">
        <v>2</v>
      </c>
      <c r="J360" s="50">
        <v>22</v>
      </c>
      <c r="K360" s="49">
        <f>F360+2*IF((MAX(柱工程量计算!$E$3:$F$72)-$E$3)&gt;$D$3*J360,MAX($D$3*J360,0.5*MAX(柱工程量计算!$E$3:$F$72)+5*J360,MAX($D$3*J360,0.4*$D$3*J360+15*J360)))</f>
        <v>15300</v>
      </c>
      <c r="L360" s="50">
        <f t="shared" si="6"/>
        <v>91.380168000000012</v>
      </c>
      <c r="M360" s="189">
        <f>(2*F361+E361)*G361/10^6</f>
        <v>7.5</v>
      </c>
      <c r="N360" s="189">
        <f>PRODUCT(E361:G365)/10^9</f>
        <v>0.75</v>
      </c>
      <c r="O360" s="189">
        <f>SUM(L360:L365)</f>
        <v>206.72074966023533</v>
      </c>
      <c r="P360" s="189"/>
      <c r="Q360" s="189">
        <v>1</v>
      </c>
    </row>
    <row r="361" spans="2:17" x14ac:dyDescent="0.15">
      <c r="B361" s="226"/>
      <c r="C361" s="221"/>
      <c r="D361" s="220">
        <v>1</v>
      </c>
      <c r="E361" s="220">
        <v>250</v>
      </c>
      <c r="F361" s="203">
        <v>500</v>
      </c>
      <c r="G361" s="203">
        <v>6000</v>
      </c>
      <c r="H361" s="50" t="s">
        <v>95</v>
      </c>
      <c r="I361" s="50">
        <v>3</v>
      </c>
      <c r="J361" s="50">
        <v>22</v>
      </c>
      <c r="K361" s="49">
        <f>G361/3+MAX($D$3*J361,0.4*$D$3*J361+15*J361,MAX(柱工程量计算!$E$3:$F$72)-$E$3+15*J361)</f>
        <v>2900</v>
      </c>
      <c r="L361" s="50">
        <f t="shared" si="6"/>
        <v>25.980636000000008</v>
      </c>
      <c r="M361" s="189"/>
      <c r="N361" s="189"/>
      <c r="O361" s="189"/>
      <c r="P361" s="189"/>
      <c r="Q361" s="189"/>
    </row>
    <row r="362" spans="2:17" x14ac:dyDescent="0.15">
      <c r="B362" s="226"/>
      <c r="C362" s="221"/>
      <c r="D362" s="221"/>
      <c r="E362" s="221"/>
      <c r="F362" s="201"/>
      <c r="G362" s="201"/>
      <c r="H362" s="50" t="s">
        <v>98</v>
      </c>
      <c r="I362" s="50">
        <v>3</v>
      </c>
      <c r="J362" s="50">
        <v>22</v>
      </c>
      <c r="K362" s="49">
        <f>G361/3+MAX($D$3*J362,0.4*$D$3*J362+15*J362,MAX(柱工程量计算!$E$3:$F$72)-$E$3+15*J362)</f>
        <v>2900</v>
      </c>
      <c r="L362" s="50">
        <f t="shared" si="6"/>
        <v>25.980636000000008</v>
      </c>
      <c r="M362" s="189"/>
      <c r="N362" s="189"/>
      <c r="O362" s="189"/>
      <c r="P362" s="189"/>
      <c r="Q362" s="189"/>
    </row>
    <row r="363" spans="2:17" x14ac:dyDescent="0.15">
      <c r="B363" s="226"/>
      <c r="C363" s="221"/>
      <c r="D363" s="221"/>
      <c r="E363" s="221"/>
      <c r="F363" s="201"/>
      <c r="G363" s="201"/>
      <c r="H363" s="50" t="s">
        <v>99</v>
      </c>
      <c r="I363" s="50">
        <v>1</v>
      </c>
      <c r="J363" s="50">
        <v>18</v>
      </c>
      <c r="K363" s="49">
        <f>G361/4+MAX($D$3*J363,0.4*$D$3*J363+15*J363,MAX(柱工程量计算!$E$3:$F$72)-$E$3+15*J363)</f>
        <v>2340</v>
      </c>
      <c r="L363" s="50">
        <f t="shared" si="6"/>
        <v>4.6778472000000004</v>
      </c>
      <c r="M363" s="189"/>
      <c r="N363" s="189"/>
      <c r="O363" s="189"/>
      <c r="P363" s="189"/>
      <c r="Q363" s="189"/>
    </row>
    <row r="364" spans="2:17" x14ac:dyDescent="0.15">
      <c r="B364" s="226"/>
      <c r="C364" s="221"/>
      <c r="D364" s="221"/>
      <c r="E364" s="221"/>
      <c r="F364" s="201"/>
      <c r="G364" s="201"/>
      <c r="H364" s="50" t="s">
        <v>130</v>
      </c>
      <c r="I364" s="50">
        <v>2</v>
      </c>
      <c r="J364" s="50">
        <v>20</v>
      </c>
      <c r="K364" s="49">
        <f>G361+2*IF((MAX(柱工程量计算!$E$3:$F$72)-$E$3)&gt;$D$3*J364,MAX($D$3*J364,0.5*MAX(柱工程量计算!$E$3:$F$72)+5*J364),MAX($D$3*J364,0.4*$D$3*J364+15*J364))</f>
        <v>7050</v>
      </c>
      <c r="L364" s="50">
        <f t="shared" si="6"/>
        <v>34.7988</v>
      </c>
      <c r="M364" s="189"/>
      <c r="N364" s="189"/>
      <c r="O364" s="189"/>
      <c r="P364" s="189"/>
      <c r="Q364" s="189"/>
    </row>
    <row r="365" spans="2:17" x14ac:dyDescent="0.15">
      <c r="B365" s="226"/>
      <c r="C365" s="221"/>
      <c r="D365" s="222"/>
      <c r="E365" s="222"/>
      <c r="F365" s="202"/>
      <c r="G365" s="202"/>
      <c r="H365" s="50" t="s">
        <v>108</v>
      </c>
      <c r="I365" s="50">
        <f>2*((IF($B$3="一级",MAX(2*F372,500),MAX(1.5*F372,500))-50)/85+1)+(G372-2*IF($B$3="一级",MAX(2*F372,500),MAX(1.5*F372,500)))/200-1</f>
        <v>39.970588235294116</v>
      </c>
      <c r="J365" s="50">
        <v>8</v>
      </c>
      <c r="K365" s="50">
        <f>(E361-2*$E$3+2*J365)*2+(F361-2*$E$3+2*J365)*2+2*1.9*J365+2*MAX(10*J365,75)</f>
        <v>1514.4</v>
      </c>
      <c r="L365" s="50">
        <f t="shared" si="6"/>
        <v>23.902662460235298</v>
      </c>
      <c r="M365" s="189"/>
      <c r="N365" s="189"/>
      <c r="O365" s="189"/>
      <c r="P365" s="189"/>
      <c r="Q365" s="189"/>
    </row>
    <row r="366" spans="2:17" x14ac:dyDescent="0.15">
      <c r="B366" s="226"/>
      <c r="C366" s="221"/>
      <c r="D366" s="220">
        <v>1</v>
      </c>
      <c r="E366" s="220">
        <v>300</v>
      </c>
      <c r="F366" s="203">
        <v>350</v>
      </c>
      <c r="G366" s="203">
        <v>2100</v>
      </c>
      <c r="H366" s="50" t="s">
        <v>105</v>
      </c>
      <c r="I366" s="50">
        <v>4</v>
      </c>
      <c r="J366" s="50">
        <v>16</v>
      </c>
      <c r="K366" s="49">
        <f>G366-G366/3*2+150*2</f>
        <v>1000</v>
      </c>
      <c r="L366" s="50">
        <f t="shared" si="6"/>
        <v>6.318080000000001</v>
      </c>
      <c r="M366" s="189">
        <f>(2*F366+E366)*G366/10^6</f>
        <v>2.1</v>
      </c>
      <c r="N366" s="189">
        <f>PRODUCT(E366:G371)/10^9</f>
        <v>0.2205</v>
      </c>
      <c r="O366" s="189">
        <f>SUM(L366:L371)</f>
        <v>47.646460050823535</v>
      </c>
      <c r="P366" s="189"/>
      <c r="Q366" s="189">
        <v>1</v>
      </c>
    </row>
    <row r="367" spans="2:17" x14ac:dyDescent="0.15">
      <c r="B367" s="226"/>
      <c r="C367" s="221"/>
      <c r="D367" s="221"/>
      <c r="E367" s="221"/>
      <c r="F367" s="201"/>
      <c r="G367" s="201"/>
      <c r="H367" s="50" t="s">
        <v>95</v>
      </c>
      <c r="I367" s="50">
        <v>4</v>
      </c>
      <c r="J367" s="50">
        <v>16</v>
      </c>
      <c r="K367" s="49">
        <f>G366/3+MAX($D$3*J367,0.4*$D$3*J367+15*J367,MAX(柱工程量计算!$E$3:$F$72)-$E$3+15*J367)</f>
        <v>1510</v>
      </c>
      <c r="L367" s="50">
        <f t="shared" si="6"/>
        <v>9.5403008000000007</v>
      </c>
      <c r="M367" s="189"/>
      <c r="N367" s="189"/>
      <c r="O367" s="189"/>
      <c r="P367" s="189"/>
      <c r="Q367" s="189"/>
    </row>
    <row r="368" spans="2:17" x14ac:dyDescent="0.15">
      <c r="B368" s="226"/>
      <c r="C368" s="221"/>
      <c r="D368" s="221"/>
      <c r="E368" s="221"/>
      <c r="F368" s="201"/>
      <c r="G368" s="201"/>
      <c r="H368" s="50" t="s">
        <v>98</v>
      </c>
      <c r="I368" s="50">
        <v>4</v>
      </c>
      <c r="J368" s="50">
        <v>16</v>
      </c>
      <c r="K368" s="49">
        <f>G366/3+MAX($D$3*J368,0.4*$D$3*J368+15*J368,MAX(柱工程量计算!$E$3:$F$72)-$E$3+15*J368)</f>
        <v>1510</v>
      </c>
      <c r="L368" s="50">
        <f t="shared" si="6"/>
        <v>9.5403008000000007</v>
      </c>
      <c r="M368" s="189"/>
      <c r="N368" s="189"/>
      <c r="O368" s="189"/>
      <c r="P368" s="189"/>
      <c r="Q368" s="189"/>
    </row>
    <row r="369" spans="1:17" s="46" customFormat="1" x14ac:dyDescent="0.15">
      <c r="A369" s="195"/>
      <c r="B369" s="226"/>
      <c r="C369" s="221"/>
      <c r="D369" s="221"/>
      <c r="E369" s="221"/>
      <c r="F369" s="201"/>
      <c r="G369" s="201"/>
      <c r="H369" s="50" t="s">
        <v>116</v>
      </c>
      <c r="I369" s="50">
        <v>2</v>
      </c>
      <c r="J369" s="50">
        <v>16</v>
      </c>
      <c r="K369" s="49">
        <f>G366+2*IF((MAX(柱工程量计算!$E$3:$F$72)-$E$3)&gt;$D$3*J369,MAX($D$3*J369,0.5*MAX(柱工程量计算!$E$3:$F$72)+5*J369),MAX($D$3*J369,0.4*$D$3*J369+15*J369))</f>
        <v>2940</v>
      </c>
      <c r="L369" s="50">
        <f t="shared" si="6"/>
        <v>9.2875776000000023</v>
      </c>
      <c r="M369" s="189"/>
      <c r="N369" s="189"/>
      <c r="O369" s="189"/>
      <c r="P369" s="189"/>
      <c r="Q369" s="189"/>
    </row>
    <row r="370" spans="1:17" x14ac:dyDescent="0.15">
      <c r="B370" s="226"/>
      <c r="C370" s="221"/>
      <c r="D370" s="221"/>
      <c r="E370" s="221"/>
      <c r="F370" s="201"/>
      <c r="G370" s="201"/>
      <c r="H370" s="50" t="s">
        <v>115</v>
      </c>
      <c r="I370" s="50">
        <v>1</v>
      </c>
      <c r="J370" s="50">
        <v>14</v>
      </c>
      <c r="K370" s="49">
        <f>G366+2*IF((MAX(柱工程量计算!$E$3:$F$72)-$E$3)&gt;$D$3*J370,MAX($D$3*J370,0.5*MAX(柱工程量计算!$E$3:$F$72)+5*J370),MAX($D$3*J370,0.4*$D$3*J370+15*J370))</f>
        <v>2840</v>
      </c>
      <c r="L370" s="50">
        <f t="shared" si="6"/>
        <v>3.434468799999999</v>
      </c>
      <c r="M370" s="189"/>
      <c r="N370" s="189"/>
      <c r="O370" s="189"/>
      <c r="P370" s="189"/>
      <c r="Q370" s="189"/>
    </row>
    <row r="371" spans="1:17" s="46" customFormat="1" x14ac:dyDescent="0.15">
      <c r="A371" s="195"/>
      <c r="B371" s="226"/>
      <c r="C371" s="221"/>
      <c r="D371" s="222"/>
      <c r="E371" s="222"/>
      <c r="F371" s="202"/>
      <c r="G371" s="202"/>
      <c r="H371" s="50" t="s">
        <v>108</v>
      </c>
      <c r="I371" s="50">
        <f>2*((IF($B$3="一级",MAX(2*F366,500),MAX(1.5*F366,500))-50)/85+1)+(G366-2*IF($B$3="一级",MAX(2*F366,500),MAX(1.5*F366,500)))/170-1</f>
        <v>18.352941176470587</v>
      </c>
      <c r="J371" s="50">
        <v>8</v>
      </c>
      <c r="K371" s="50">
        <f>(E366-2*$E$3+2*J371)*2+(F366-2*$E$3+2*J371)*2+2*1.9*J371+2*MAX(10*J371,75)</f>
        <v>1314.4</v>
      </c>
      <c r="L371" s="50">
        <f t="shared" si="6"/>
        <v>9.5257320508235317</v>
      </c>
      <c r="M371" s="189"/>
      <c r="N371" s="189"/>
      <c r="O371" s="189"/>
      <c r="P371" s="189"/>
      <c r="Q371" s="189"/>
    </row>
    <row r="372" spans="1:17" x14ac:dyDescent="0.15">
      <c r="B372" s="226"/>
      <c r="C372" s="221"/>
      <c r="D372" s="209">
        <v>1</v>
      </c>
      <c r="E372" s="209">
        <v>250</v>
      </c>
      <c r="F372" s="189">
        <v>500</v>
      </c>
      <c r="G372" s="189">
        <v>6000</v>
      </c>
      <c r="H372" s="50" t="s">
        <v>111</v>
      </c>
      <c r="I372" s="50">
        <v>2</v>
      </c>
      <c r="J372" s="50">
        <v>22</v>
      </c>
      <c r="K372" s="49">
        <f>G372/3+MAX($D$3*J372,0.4*$D$3*J372+15*J372,MAX(柱工程量计算!$E$3:$F$72)-$E$3+15*J372)</f>
        <v>2900</v>
      </c>
      <c r="L372" s="50">
        <f t="shared" si="6"/>
        <v>17.320424000000003</v>
      </c>
      <c r="M372" s="189">
        <f>(2*F372+E372)*G372/10^6</f>
        <v>7.5</v>
      </c>
      <c r="N372" s="189">
        <f>PRODUCT(E372:G377)/10^9</f>
        <v>0.75</v>
      </c>
      <c r="O372" s="189">
        <f>SUM(L372:L377)</f>
        <v>142.19883846023532</v>
      </c>
      <c r="P372" s="189"/>
      <c r="Q372" s="189">
        <v>1</v>
      </c>
    </row>
    <row r="373" spans="1:17" x14ac:dyDescent="0.15">
      <c r="B373" s="226"/>
      <c r="C373" s="221"/>
      <c r="D373" s="209"/>
      <c r="E373" s="209"/>
      <c r="F373" s="189"/>
      <c r="G373" s="189"/>
      <c r="H373" s="50" t="s">
        <v>113</v>
      </c>
      <c r="I373" s="50">
        <v>2</v>
      </c>
      <c r="J373" s="50">
        <v>18</v>
      </c>
      <c r="K373" s="49">
        <f>G372/3+MAX($D$3*J373,0.4*$D$3*J373+15*J373,MAX(柱工程量计算!$E$3:$F$72)-$E$3+15*J373)</f>
        <v>2840</v>
      </c>
      <c r="L373" s="50">
        <f t="shared" si="6"/>
        <v>11.3547744</v>
      </c>
      <c r="M373" s="189"/>
      <c r="N373" s="189"/>
      <c r="O373" s="189"/>
      <c r="P373" s="189"/>
      <c r="Q373" s="189"/>
    </row>
    <row r="374" spans="1:17" s="46" customFormat="1" x14ac:dyDescent="0.15">
      <c r="A374" s="195"/>
      <c r="B374" s="226"/>
      <c r="C374" s="221"/>
      <c r="D374" s="209"/>
      <c r="E374" s="209"/>
      <c r="F374" s="189"/>
      <c r="G374" s="189"/>
      <c r="H374" s="50" t="s">
        <v>144</v>
      </c>
      <c r="I374" s="50">
        <v>4</v>
      </c>
      <c r="J374" s="50">
        <v>18</v>
      </c>
      <c r="K374" s="49">
        <f>G372/4+MAX($D$3*J374,0.4*$D$3*J374+15*J374,MAX(柱工程量计算!$E$3:$F$72)-$E$3+15*J374)</f>
        <v>2340</v>
      </c>
      <c r="L374" s="50">
        <f t="shared" si="6"/>
        <v>18.711388800000002</v>
      </c>
      <c r="M374" s="189"/>
      <c r="N374" s="189"/>
      <c r="O374" s="189"/>
      <c r="P374" s="189"/>
      <c r="Q374" s="189"/>
    </row>
    <row r="375" spans="1:17" x14ac:dyDescent="0.15">
      <c r="B375" s="226"/>
      <c r="C375" s="221"/>
      <c r="D375" s="209"/>
      <c r="E375" s="209"/>
      <c r="F375" s="189"/>
      <c r="G375" s="189"/>
      <c r="H375" s="50" t="s">
        <v>145</v>
      </c>
      <c r="I375" s="50">
        <v>4</v>
      </c>
      <c r="J375" s="50">
        <v>18</v>
      </c>
      <c r="K375" s="49">
        <f>G372/4+MAX($D$3*J375,0.4*$D$3*J375+15*J375,MAX(柱工程量计算!$E$3:$F$72)-$E$3+15*J375)</f>
        <v>2340</v>
      </c>
      <c r="L375" s="50">
        <f t="shared" si="6"/>
        <v>18.711388800000002</v>
      </c>
      <c r="M375" s="189"/>
      <c r="N375" s="189"/>
      <c r="O375" s="189"/>
      <c r="P375" s="189"/>
      <c r="Q375" s="189"/>
    </row>
    <row r="376" spans="1:17" x14ac:dyDescent="0.15">
      <c r="B376" s="226"/>
      <c r="C376" s="221"/>
      <c r="D376" s="209"/>
      <c r="E376" s="209"/>
      <c r="F376" s="189"/>
      <c r="G376" s="189"/>
      <c r="H376" s="50" t="s">
        <v>116</v>
      </c>
      <c r="I376" s="50">
        <v>3</v>
      </c>
      <c r="J376" s="50">
        <v>20</v>
      </c>
      <c r="K376" s="49">
        <f>G372+2*IF((MAX(柱工程量计算!$E$3:$F$72)-$E$3)&gt;$D$3*J376,MAX($D$3*J376,0.5*MAX(柱工程量计算!$E$3:$F$72)+5*J376),MAX($D$3*J376,0.4*$D$3*J376+15*J376))</f>
        <v>7050</v>
      </c>
      <c r="L376" s="50">
        <f t="shared" si="6"/>
        <v>52.1982</v>
      </c>
      <c r="M376" s="189"/>
      <c r="N376" s="189"/>
      <c r="O376" s="189"/>
      <c r="P376" s="189"/>
      <c r="Q376" s="189"/>
    </row>
    <row r="377" spans="1:17" x14ac:dyDescent="0.15">
      <c r="B377" s="226"/>
      <c r="C377" s="221"/>
      <c r="D377" s="209"/>
      <c r="E377" s="209"/>
      <c r="F377" s="189"/>
      <c r="G377" s="189"/>
      <c r="H377" s="50" t="s">
        <v>108</v>
      </c>
      <c r="I377" s="50">
        <f>2*((IF($B$3="一级",MAX(2*F372,500),MAX(1.5*F372,500))-50)/85+1)+(G372-2*IF($B$3="一级",MAX(2*F372,500),MAX(1.5*F372,500)))/200-1</f>
        <v>39.970588235294116</v>
      </c>
      <c r="J377" s="50">
        <v>8</v>
      </c>
      <c r="K377" s="50">
        <f>(E372-2*$E$3+2*J377)*2+(F372-2*$E$3+2*J377)*2+2*1.9*J377+2*MAX(10*J377,75)</f>
        <v>1514.4</v>
      </c>
      <c r="L377" s="50">
        <f t="shared" si="6"/>
        <v>23.902662460235298</v>
      </c>
      <c r="M377" s="189"/>
      <c r="N377" s="189"/>
      <c r="O377" s="189"/>
      <c r="P377" s="189"/>
      <c r="Q377" s="189"/>
    </row>
    <row r="378" spans="1:17" x14ac:dyDescent="0.15">
      <c r="B378" s="226"/>
      <c r="C378" s="220" t="s">
        <v>127</v>
      </c>
      <c r="D378" s="218" t="s">
        <v>106</v>
      </c>
      <c r="E378" s="219"/>
      <c r="F378" s="218">
        <v>15300</v>
      </c>
      <c r="G378" s="219"/>
      <c r="H378" s="50" t="s">
        <v>103</v>
      </c>
      <c r="I378" s="50">
        <v>2</v>
      </c>
      <c r="J378" s="50">
        <v>22</v>
      </c>
      <c r="K378" s="49">
        <f>F378+2*IF((MAX(柱工程量计算!$E$3:$F$72)-$E$3)&gt;$D$3*J378,MAX($D$3*J378,0.5*MAX(柱工程量计算!$E$3:$F$72)+5*J378,MAX($D$3*J378,0.4*$D$3*J378+15*J378)))</f>
        <v>15300</v>
      </c>
      <c r="L378" s="50">
        <f t="shared" si="6"/>
        <v>91.380168000000012</v>
      </c>
      <c r="M378" s="189">
        <f>(2*F379+E379)*G379/10^6</f>
        <v>7.5</v>
      </c>
      <c r="N378" s="189">
        <f>PRODUCT(E379:G384)/10^9</f>
        <v>0.75</v>
      </c>
      <c r="O378" s="189">
        <f>SUM(L378:L384)</f>
        <v>190.40521279999999</v>
      </c>
      <c r="P378" s="189"/>
      <c r="Q378" s="189">
        <v>1</v>
      </c>
    </row>
    <row r="379" spans="1:17" x14ac:dyDescent="0.15">
      <c r="B379" s="226"/>
      <c r="C379" s="221"/>
      <c r="D379" s="220">
        <v>1</v>
      </c>
      <c r="E379" s="220">
        <v>250</v>
      </c>
      <c r="F379" s="203">
        <v>500</v>
      </c>
      <c r="G379" s="203">
        <v>6000</v>
      </c>
      <c r="H379" s="50" t="s">
        <v>95</v>
      </c>
      <c r="I379" s="50">
        <v>2</v>
      </c>
      <c r="J379" s="50">
        <v>22</v>
      </c>
      <c r="K379" s="49">
        <f>G379/3+MAX($D$3*J379,0.4*$D$3*J379+15*J379,MAX(柱工程量计算!$E$3:$F$72)-$E$3+15*J379)</f>
        <v>2900</v>
      </c>
      <c r="L379" s="50">
        <f t="shared" si="6"/>
        <v>17.320424000000003</v>
      </c>
      <c r="M379" s="189"/>
      <c r="N379" s="189"/>
      <c r="O379" s="189"/>
      <c r="P379" s="189"/>
      <c r="Q379" s="189"/>
    </row>
    <row r="380" spans="1:17" x14ac:dyDescent="0.15">
      <c r="B380" s="226"/>
      <c r="C380" s="221"/>
      <c r="D380" s="221"/>
      <c r="E380" s="221"/>
      <c r="F380" s="201"/>
      <c r="G380" s="201"/>
      <c r="H380" s="50" t="s">
        <v>97</v>
      </c>
      <c r="I380" s="50">
        <v>1</v>
      </c>
      <c r="J380" s="50">
        <v>18</v>
      </c>
      <c r="K380" s="49">
        <f>G379/4+MAX($D$3*J380,0.4*$D$3*J380+15*J380,MAX(柱工程量计算!$E$3:$F$72)-$E$3+15*J380)</f>
        <v>2340</v>
      </c>
      <c r="L380" s="50">
        <f t="shared" si="6"/>
        <v>4.6778472000000004</v>
      </c>
      <c r="M380" s="189"/>
      <c r="N380" s="189"/>
      <c r="O380" s="189"/>
      <c r="P380" s="189"/>
      <c r="Q380" s="189"/>
    </row>
    <row r="381" spans="1:17" x14ac:dyDescent="0.15">
      <c r="B381" s="226"/>
      <c r="C381" s="221"/>
      <c r="D381" s="221"/>
      <c r="E381" s="221"/>
      <c r="F381" s="201"/>
      <c r="G381" s="201"/>
      <c r="H381" s="50" t="s">
        <v>98</v>
      </c>
      <c r="I381" s="50">
        <v>2</v>
      </c>
      <c r="J381" s="50">
        <v>22</v>
      </c>
      <c r="K381" s="49">
        <f>G379/3+MAX($D$3*J381,0.4*$D$3*J381+15*J381,MAX(柱工程量计算!$E$3:$F$72)-$E$3+15*J381)</f>
        <v>2900</v>
      </c>
      <c r="L381" s="50">
        <f t="shared" si="6"/>
        <v>17.320424000000003</v>
      </c>
      <c r="M381" s="189"/>
      <c r="N381" s="189"/>
      <c r="O381" s="189"/>
      <c r="P381" s="189"/>
      <c r="Q381" s="189"/>
    </row>
    <row r="382" spans="1:17" x14ac:dyDescent="0.15">
      <c r="B382" s="226"/>
      <c r="C382" s="221"/>
      <c r="D382" s="221"/>
      <c r="E382" s="221"/>
      <c r="F382" s="201"/>
      <c r="G382" s="201"/>
      <c r="H382" s="50" t="s">
        <v>99</v>
      </c>
      <c r="I382" s="50">
        <v>1</v>
      </c>
      <c r="J382" s="50">
        <v>18</v>
      </c>
      <c r="K382" s="49">
        <f>G379/4+MAX($D$3*J382,0.4*$D$3*J382+15*J382,MAX(柱工程量计算!$E$3:$F$72)-$E$3+15*J382)</f>
        <v>2340</v>
      </c>
      <c r="L382" s="50">
        <f t="shared" si="6"/>
        <v>4.6778472000000004</v>
      </c>
      <c r="M382" s="189"/>
      <c r="N382" s="189"/>
      <c r="O382" s="189"/>
      <c r="P382" s="189"/>
      <c r="Q382" s="189"/>
    </row>
    <row r="383" spans="1:17" x14ac:dyDescent="0.15">
      <c r="B383" s="226"/>
      <c r="C383" s="221"/>
      <c r="D383" s="221"/>
      <c r="E383" s="221"/>
      <c r="F383" s="201"/>
      <c r="G383" s="201"/>
      <c r="H383" s="50" t="s">
        <v>121</v>
      </c>
      <c r="I383" s="50">
        <v>4</v>
      </c>
      <c r="J383" s="50">
        <v>14</v>
      </c>
      <c r="K383" s="49">
        <f>G379+2*IF((MAX(柱工程量计算!$E$3:$F$72)-$E$3)&gt;$D$3*J383,MAX($D$3*J383,0.5*MAX(柱工程量计算!$E$3:$F$72)+5*J383),MAX($D$3*J383,0.4*$D$3*J383+15*J383))</f>
        <v>6740</v>
      </c>
      <c r="L383" s="50">
        <f t="shared" si="6"/>
        <v>32.603267199999991</v>
      </c>
      <c r="M383" s="189"/>
      <c r="N383" s="189"/>
      <c r="O383" s="189"/>
      <c r="P383" s="189"/>
      <c r="Q383" s="189"/>
    </row>
    <row r="384" spans="1:17" x14ac:dyDescent="0.15">
      <c r="B384" s="226"/>
      <c r="C384" s="221"/>
      <c r="D384" s="222"/>
      <c r="E384" s="222"/>
      <c r="F384" s="202"/>
      <c r="G384" s="202"/>
      <c r="H384" s="50" t="s">
        <v>108</v>
      </c>
      <c r="I384" s="50">
        <f>2*((IF($B$3="一级",MAX(2*F391,500),MAX(1.5*F391,500))-50)/100+1)+(G391-2*IF($B$3="一级",MAX(2*F391,500),MAX(1.5*F391,500)))/200-1</f>
        <v>37.5</v>
      </c>
      <c r="J384" s="50">
        <v>8</v>
      </c>
      <c r="K384" s="50">
        <f>(E379-2*$E$3+2*J384)*2+(F379-2*$E$3+2*J384)*2+2*1.9*J384+2*MAX(10*J384,75)</f>
        <v>1514.4</v>
      </c>
      <c r="L384" s="50">
        <f t="shared" si="6"/>
        <v>22.425235200000003</v>
      </c>
      <c r="M384" s="189"/>
      <c r="N384" s="189"/>
      <c r="O384" s="189"/>
      <c r="P384" s="189"/>
      <c r="Q384" s="189"/>
    </row>
    <row r="385" spans="1:17" x14ac:dyDescent="0.15">
      <c r="B385" s="226"/>
      <c r="C385" s="221"/>
      <c r="D385" s="220">
        <v>1</v>
      </c>
      <c r="E385" s="220">
        <v>300</v>
      </c>
      <c r="F385" s="203">
        <v>350</v>
      </c>
      <c r="G385" s="203">
        <v>2100</v>
      </c>
      <c r="H385" s="50" t="s">
        <v>105</v>
      </c>
      <c r="I385" s="50">
        <v>3</v>
      </c>
      <c r="J385" s="50">
        <v>18</v>
      </c>
      <c r="K385" s="49">
        <f>G385-G385/3*2+150*2</f>
        <v>1000</v>
      </c>
      <c r="L385" s="50">
        <f t="shared" si="6"/>
        <v>5.9972400000000006</v>
      </c>
      <c r="M385" s="189">
        <f>(2*F385+E385)*G385/10^6</f>
        <v>2.1</v>
      </c>
      <c r="N385" s="189">
        <f>PRODUCT(E385:G390)/10^9</f>
        <v>0.2205</v>
      </c>
      <c r="O385" s="189">
        <f>SUM(L385:L390)</f>
        <v>45.586863529411772</v>
      </c>
      <c r="P385" s="189"/>
      <c r="Q385" s="189">
        <v>1</v>
      </c>
    </row>
    <row r="386" spans="1:17" x14ac:dyDescent="0.15">
      <c r="B386" s="226"/>
      <c r="C386" s="221"/>
      <c r="D386" s="221"/>
      <c r="E386" s="221"/>
      <c r="F386" s="201"/>
      <c r="G386" s="201"/>
      <c r="H386" s="50" t="s">
        <v>95</v>
      </c>
      <c r="I386" s="50">
        <v>3</v>
      </c>
      <c r="J386" s="50">
        <v>18</v>
      </c>
      <c r="K386" s="49">
        <f>G385/3+MAX($D$3*J386,0.4*$D$3*J386+15*J386,MAX(柱工程量计算!$E$3:$F$72)-$E$3+15*J386)</f>
        <v>1540</v>
      </c>
      <c r="L386" s="50">
        <f t="shared" si="6"/>
        <v>9.2357496000000019</v>
      </c>
      <c r="M386" s="189"/>
      <c r="N386" s="189"/>
      <c r="O386" s="189"/>
      <c r="P386" s="189"/>
      <c r="Q386" s="189"/>
    </row>
    <row r="387" spans="1:17" x14ac:dyDescent="0.15">
      <c r="B387" s="226"/>
      <c r="C387" s="221"/>
      <c r="D387" s="221"/>
      <c r="E387" s="221"/>
      <c r="F387" s="201"/>
      <c r="G387" s="201"/>
      <c r="H387" s="50" t="s">
        <v>98</v>
      </c>
      <c r="I387" s="50">
        <v>3</v>
      </c>
      <c r="J387" s="50">
        <v>18</v>
      </c>
      <c r="K387" s="49">
        <f>G385/3+MAX($D$3*J387,0.4*$D$3*J387+15*J387,MAX(柱工程量计算!$E$3:$F$72)-$E$3+15*J387)</f>
        <v>1540</v>
      </c>
      <c r="L387" s="50">
        <f t="shared" si="6"/>
        <v>9.2357496000000019</v>
      </c>
      <c r="M387" s="189"/>
      <c r="N387" s="189"/>
      <c r="O387" s="189"/>
      <c r="P387" s="189"/>
      <c r="Q387" s="189"/>
    </row>
    <row r="388" spans="1:17" x14ac:dyDescent="0.15">
      <c r="B388" s="226"/>
      <c r="C388" s="221"/>
      <c r="D388" s="221"/>
      <c r="E388" s="221"/>
      <c r="F388" s="201"/>
      <c r="G388" s="201"/>
      <c r="H388" s="50" t="s">
        <v>116</v>
      </c>
      <c r="I388" s="50">
        <v>2</v>
      </c>
      <c r="J388" s="50">
        <v>16</v>
      </c>
      <c r="K388" s="49">
        <f>G385+2*IF((MAX(柱工程量计算!$E$3:$F$72)-$E$3)&gt;$D$3*J388,MAX($D$3*J388,0.5*MAX(柱工程量计算!$E$3:$F$72)+5*J388),MAX($D$3*J388,0.4*$D$3*J388+15*J388))</f>
        <v>2940</v>
      </c>
      <c r="L388" s="50">
        <f t="shared" si="6"/>
        <v>9.2875776000000023</v>
      </c>
      <c r="M388" s="189"/>
      <c r="N388" s="189"/>
      <c r="O388" s="189"/>
      <c r="P388" s="189"/>
      <c r="Q388" s="189"/>
    </row>
    <row r="389" spans="1:17" x14ac:dyDescent="0.15">
      <c r="B389" s="226"/>
      <c r="C389" s="221"/>
      <c r="D389" s="221"/>
      <c r="E389" s="221"/>
      <c r="F389" s="201"/>
      <c r="G389" s="201"/>
      <c r="H389" s="50" t="s">
        <v>115</v>
      </c>
      <c r="I389" s="50">
        <v>1</v>
      </c>
      <c r="J389" s="50">
        <v>14</v>
      </c>
      <c r="K389" s="49">
        <f>G385+2*IF((MAX(柱工程量计算!$E$3:$F$72)-$E$3)&gt;$D$3*J389,MAX($D$3*J389,0.5*MAX(柱工程量计算!$E$3:$F$72)+5*J389),MAX($D$3*J389,0.4*$D$3*J389+15*J389))</f>
        <v>2840</v>
      </c>
      <c r="L389" s="50">
        <f t="shared" si="6"/>
        <v>3.434468799999999</v>
      </c>
      <c r="M389" s="189"/>
      <c r="N389" s="189"/>
      <c r="O389" s="189"/>
      <c r="P389" s="189"/>
      <c r="Q389" s="189"/>
    </row>
    <row r="390" spans="1:17" s="46" customFormat="1" x14ac:dyDescent="0.15">
      <c r="A390" s="195"/>
      <c r="B390" s="226"/>
      <c r="C390" s="221"/>
      <c r="D390" s="222"/>
      <c r="E390" s="222"/>
      <c r="F390" s="202"/>
      <c r="G390" s="202"/>
      <c r="H390" s="50" t="s">
        <v>108</v>
      </c>
      <c r="I390" s="50">
        <f>2*((IF($B$3="一级",MAX(2*F385,500),MAX(1.5*F3782,500))-50)/100+1)+(G385-2*IF($B$3="一级",MAX(2*F3782,500),MAX(1.5*F385,500)))/170-1</f>
        <v>16.176470588235293</v>
      </c>
      <c r="J390" s="50">
        <v>8</v>
      </c>
      <c r="K390" s="50">
        <f>(E385-2*$E$3+2*J390)*2+(F385-2*$E$3+2*J390)*2+2*1.9*J390+2*MAX(10*J390,75)</f>
        <v>1314.4</v>
      </c>
      <c r="L390" s="50">
        <f t="shared" si="6"/>
        <v>8.3960779294117671</v>
      </c>
      <c r="M390" s="189"/>
      <c r="N390" s="189"/>
      <c r="O390" s="189"/>
      <c r="P390" s="189"/>
      <c r="Q390" s="189"/>
    </row>
    <row r="391" spans="1:17" x14ac:dyDescent="0.15">
      <c r="B391" s="226"/>
      <c r="C391" s="221"/>
      <c r="D391" s="209">
        <v>1</v>
      </c>
      <c r="E391" s="209">
        <v>250</v>
      </c>
      <c r="F391" s="189">
        <v>500</v>
      </c>
      <c r="G391" s="189">
        <v>6000</v>
      </c>
      <c r="H391" s="50" t="s">
        <v>112</v>
      </c>
      <c r="I391" s="50">
        <v>2</v>
      </c>
      <c r="J391" s="50">
        <v>20</v>
      </c>
      <c r="K391" s="49">
        <f>G391/3+MAX($D$3*J391,0.4*$D$3*J391+15*J391,MAX(柱工程量计算!$E$3:$F$72)-$E$3+15*J391)</f>
        <v>2870</v>
      </c>
      <c r="L391" s="50">
        <f t="shared" si="6"/>
        <v>14.166319999999999</v>
      </c>
      <c r="M391" s="189">
        <f>(2*F391+E391)*G391/10^6</f>
        <v>7.5</v>
      </c>
      <c r="N391" s="189">
        <f>PRODUCT(E391:G398)/10^9</f>
        <v>0.75</v>
      </c>
      <c r="O391" s="189">
        <f>SUM(L391:L398)</f>
        <v>152.50583972000001</v>
      </c>
      <c r="P391" s="189"/>
      <c r="Q391" s="189">
        <v>1</v>
      </c>
    </row>
    <row r="392" spans="1:17" x14ac:dyDescent="0.15">
      <c r="B392" s="226"/>
      <c r="C392" s="221"/>
      <c r="D392" s="209"/>
      <c r="E392" s="209"/>
      <c r="F392" s="189"/>
      <c r="G392" s="189"/>
      <c r="H392" s="50" t="s">
        <v>117</v>
      </c>
      <c r="I392" s="50">
        <v>2</v>
      </c>
      <c r="J392" s="50">
        <v>18</v>
      </c>
      <c r="K392" s="49">
        <f>G391/3+MAX($D$3*J392,0.4*$D$3*J392+15*J392,MAX(柱工程量计算!$E$3:$F$72)-$E$3+15*J392)</f>
        <v>2840</v>
      </c>
      <c r="L392" s="50">
        <f t="shared" si="6"/>
        <v>11.3547744</v>
      </c>
      <c r="M392" s="189"/>
      <c r="N392" s="189"/>
      <c r="O392" s="189"/>
      <c r="P392" s="189"/>
      <c r="Q392" s="189"/>
    </row>
    <row r="393" spans="1:17" x14ac:dyDescent="0.15">
      <c r="B393" s="226"/>
      <c r="C393" s="221"/>
      <c r="D393" s="209"/>
      <c r="E393" s="209"/>
      <c r="F393" s="189"/>
      <c r="G393" s="189"/>
      <c r="H393" s="50" t="s">
        <v>118</v>
      </c>
      <c r="I393" s="50">
        <v>4</v>
      </c>
      <c r="J393" s="50">
        <v>22</v>
      </c>
      <c r="K393" s="49">
        <f>G391/4+MAX($D$3*J393,0.4*$D$3*J393+15*J393,MAX(柱工程量计算!$E$3:$F$72)-$E$3+15*J393)</f>
        <v>2400</v>
      </c>
      <c r="L393" s="50">
        <f t="shared" si="6"/>
        <v>28.668288000000004</v>
      </c>
      <c r="M393" s="189"/>
      <c r="N393" s="189"/>
      <c r="O393" s="189"/>
      <c r="P393" s="189"/>
      <c r="Q393" s="189"/>
    </row>
    <row r="394" spans="1:17" x14ac:dyDescent="0.15">
      <c r="B394" s="226"/>
      <c r="C394" s="221"/>
      <c r="D394" s="209"/>
      <c r="E394" s="209"/>
      <c r="F394" s="189"/>
      <c r="G394" s="189"/>
      <c r="H394" s="50" t="s">
        <v>116</v>
      </c>
      <c r="I394" s="50">
        <v>2</v>
      </c>
      <c r="J394" s="50">
        <v>20</v>
      </c>
      <c r="K394" s="49">
        <f>G391+2*IF((MAX(柱工程量计算!$E$3:$F$72)-$E$3)&gt;$D$3*J394,MAX($D$3*J394,0.5*MAX(柱工程量计算!$E$3:$F$72)+5*J394),MAX($D$3*J394,0.4*$D$3*J394+15*J394))</f>
        <v>7050</v>
      </c>
      <c r="L394" s="50">
        <f t="shared" si="6"/>
        <v>34.7988</v>
      </c>
      <c r="M394" s="189"/>
      <c r="N394" s="189"/>
      <c r="O394" s="189"/>
      <c r="P394" s="189"/>
      <c r="Q394" s="189"/>
    </row>
    <row r="395" spans="1:17" x14ac:dyDescent="0.15">
      <c r="B395" s="226"/>
      <c r="C395" s="221"/>
      <c r="D395" s="209"/>
      <c r="E395" s="209"/>
      <c r="F395" s="189"/>
      <c r="G395" s="189"/>
      <c r="H395" s="50" t="s">
        <v>115</v>
      </c>
      <c r="I395" s="50">
        <v>1</v>
      </c>
      <c r="J395" s="50">
        <v>18</v>
      </c>
      <c r="K395" s="49">
        <f>G391+2*IF((MAX(柱工程量计算!$E$3:$F$72)-$E$3)&gt;$D$3*J395,MAX($D$3*J395,0.5*MAX(柱工程量计算!$E$3:$F$72)+5*J395),MAX($D$3*J395,0.4*$D$3*J395+15*J395))</f>
        <v>6945</v>
      </c>
      <c r="L395" s="50">
        <f t="shared" si="6"/>
        <v>13.883610600000003</v>
      </c>
      <c r="M395" s="189"/>
      <c r="N395" s="189"/>
      <c r="O395" s="189"/>
      <c r="P395" s="189"/>
      <c r="Q395" s="189"/>
    </row>
    <row r="396" spans="1:17" x14ac:dyDescent="0.15">
      <c r="B396" s="226"/>
      <c r="C396" s="221"/>
      <c r="D396" s="209"/>
      <c r="E396" s="209"/>
      <c r="F396" s="189"/>
      <c r="G396" s="189"/>
      <c r="H396" s="50" t="s">
        <v>100</v>
      </c>
      <c r="I396" s="50">
        <v>4</v>
      </c>
      <c r="J396" s="50">
        <v>12</v>
      </c>
      <c r="K396" s="49">
        <f>IF(F391&gt;=450,G391+2*IF((MAX(柱工程量计算!$E$3:$F$72)-$E$3)&gt;$D$3*J396,MAX($D$3*J396,0.5*MAX(柱工程量计算!$E$3:$F$72)+5*J396),MAX($D$3*J396,0.4*$D$3*J396+15*J396)),G391+15*J396)</f>
        <v>6720</v>
      </c>
      <c r="L396" s="50">
        <f t="shared" si="6"/>
        <v>23.882342399999999</v>
      </c>
      <c r="M396" s="189"/>
      <c r="N396" s="189"/>
      <c r="O396" s="189"/>
      <c r="P396" s="189"/>
      <c r="Q396" s="189"/>
    </row>
    <row r="397" spans="1:17" x14ac:dyDescent="0.15">
      <c r="B397" s="226"/>
      <c r="C397" s="221"/>
      <c r="D397" s="209"/>
      <c r="E397" s="209"/>
      <c r="F397" s="189"/>
      <c r="G397" s="189"/>
      <c r="H397" s="50" t="s">
        <v>107</v>
      </c>
      <c r="I397" s="50">
        <f>((G391-50*2)/200*2+1)*$I$6/2</f>
        <v>120</v>
      </c>
      <c r="J397" s="50">
        <f>IF(E388&lt;=350,6,8)</f>
        <v>6</v>
      </c>
      <c r="K397" s="49">
        <f>E388-2*$E$3+2*1.9*J397+2*MAX(10*J397,75)+2*J397</f>
        <v>124.8</v>
      </c>
      <c r="L397" s="50">
        <f t="shared" si="6"/>
        <v>3.3264691199999992</v>
      </c>
      <c r="M397" s="189"/>
      <c r="N397" s="189"/>
      <c r="O397" s="189"/>
      <c r="P397" s="189"/>
      <c r="Q397" s="189"/>
    </row>
    <row r="398" spans="1:17" x14ac:dyDescent="0.15">
      <c r="B398" s="226"/>
      <c r="C398" s="222"/>
      <c r="D398" s="209"/>
      <c r="E398" s="209"/>
      <c r="F398" s="189"/>
      <c r="G398" s="189"/>
      <c r="H398" s="50" t="s">
        <v>108</v>
      </c>
      <c r="I398" s="50">
        <f>2*((IF($B$3="一级",MAX(2*F391,500),MAX(1.5*F391,500))-50)/100+1)+(G391-2*IF($B$3="一级",MAX(2*F391,500),MAX(1.5*F391,500)))/200-1</f>
        <v>37.5</v>
      </c>
      <c r="J398" s="50">
        <v>8</v>
      </c>
      <c r="K398" s="50">
        <f>(E391-2*$E$3+2*J398)*2+(F391-2*$E$3+2*J398)*2+2*1.9*J398+2*MAX(10*J398,75)</f>
        <v>1514.4</v>
      </c>
      <c r="L398" s="50">
        <f t="shared" ref="L398:L461" si="7">I398*(J398/10)^2*0.617*K398/1000</f>
        <v>22.425235200000003</v>
      </c>
      <c r="M398" s="189"/>
      <c r="N398" s="189"/>
      <c r="O398" s="189"/>
      <c r="P398" s="189"/>
      <c r="Q398" s="189"/>
    </row>
    <row r="399" spans="1:17" x14ac:dyDescent="0.15">
      <c r="B399" s="226"/>
      <c r="C399" s="220" t="s">
        <v>136</v>
      </c>
      <c r="D399" s="220">
        <v>6</v>
      </c>
      <c r="E399" s="220">
        <v>250</v>
      </c>
      <c r="F399" s="203">
        <v>400</v>
      </c>
      <c r="G399" s="203">
        <v>6000</v>
      </c>
      <c r="H399" s="50" t="s">
        <v>121</v>
      </c>
      <c r="I399" s="50">
        <v>2</v>
      </c>
      <c r="J399" s="50">
        <v>25</v>
      </c>
      <c r="K399" s="49">
        <f>G399+2*IF((MAX(柱工程量计算!$E$3:$F$72)-$E$3)&gt;$D$3*J399,MAX($D$3*J399,0.5*MAX(柱工程量计算!$E$3:$F$72)+5*J399,MAX($D$3*J399,0.4*$D$3*J399+15*J399)))</f>
        <v>6000</v>
      </c>
      <c r="L399" s="50">
        <f t="shared" si="7"/>
        <v>46.274999999999999</v>
      </c>
      <c r="M399" s="189">
        <f>(2*F399+E399)*G399/10^6</f>
        <v>6.3</v>
      </c>
      <c r="N399" s="189">
        <f>PRODUCT(E399:G402)/10^9</f>
        <v>0.6</v>
      </c>
      <c r="O399" s="189">
        <f>SUM(L399:L402)</f>
        <v>114.24241689599999</v>
      </c>
      <c r="P399" s="189">
        <v>3</v>
      </c>
      <c r="Q399" s="189">
        <v>3</v>
      </c>
    </row>
    <row r="400" spans="1:17" x14ac:dyDescent="0.15">
      <c r="B400" s="226"/>
      <c r="C400" s="221"/>
      <c r="D400" s="221"/>
      <c r="E400" s="221"/>
      <c r="F400" s="201"/>
      <c r="G400" s="201"/>
      <c r="H400" s="50" t="s">
        <v>120</v>
      </c>
      <c r="I400" s="50">
        <v>2</v>
      </c>
      <c r="J400" s="50">
        <v>22</v>
      </c>
      <c r="K400" s="49">
        <f>G399+2*IF((MAX(柱工程量计算!$E$3:$F$72)-$E$3)&gt;$D$3*J400,MAX($D$3*J400,0.5*MAX(柱工程量计算!$E$3:$F$72)+5*J400,MAX($D$3*J400,0.4*$D$3*J400+15*J400)))</f>
        <v>6000</v>
      </c>
      <c r="L400" s="50">
        <f t="shared" si="7"/>
        <v>35.835360000000001</v>
      </c>
      <c r="M400" s="189"/>
      <c r="N400" s="189"/>
      <c r="O400" s="189"/>
      <c r="P400" s="189"/>
      <c r="Q400" s="189"/>
    </row>
    <row r="401" spans="2:17" x14ac:dyDescent="0.15">
      <c r="B401" s="226"/>
      <c r="C401" s="221"/>
      <c r="D401" s="221"/>
      <c r="E401" s="221"/>
      <c r="F401" s="201"/>
      <c r="G401" s="201"/>
      <c r="H401" s="50" t="s">
        <v>129</v>
      </c>
      <c r="I401" s="50">
        <v>2</v>
      </c>
      <c r="J401" s="50">
        <v>14</v>
      </c>
      <c r="K401" s="49">
        <f>G399+2*IF((MAX(柱工程量计算!$E$3:$F$72)-$E$3)&gt;$D$3*J401,MAX($D$3*J401,0.5*MAX(柱工程量计算!$E$3:$F$72)+5*J401),MAX($D$3*J401,0.4*$D$3*J401+15*J401))</f>
        <v>6740</v>
      </c>
      <c r="L401" s="50">
        <f t="shared" si="7"/>
        <v>16.301633599999995</v>
      </c>
      <c r="M401" s="189"/>
      <c r="N401" s="189"/>
      <c r="O401" s="189"/>
      <c r="P401" s="189"/>
      <c r="Q401" s="189"/>
    </row>
    <row r="402" spans="2:17" x14ac:dyDescent="0.15">
      <c r="B402" s="226"/>
      <c r="C402" s="222"/>
      <c r="D402" s="222"/>
      <c r="E402" s="222"/>
      <c r="F402" s="202"/>
      <c r="G402" s="202"/>
      <c r="H402" s="50" t="s">
        <v>108</v>
      </c>
      <c r="I402" s="50">
        <f>2*((IF($B$3="一级",MAX(2*F399,500),MAX(1.5*F399,500))-50)/200+1)+(G399-2*IF($B$3="一级",MAX(2*F399,500),MAX(1.5*F399,500)))/200-1</f>
        <v>30.5</v>
      </c>
      <c r="J402" s="50">
        <v>8</v>
      </c>
      <c r="K402" s="50">
        <f>(E399-2*$E$3+2*J402)*2+(F399-2*$E$3+2*J402)*2+2*1.9*J402+2*MAX(10*J402,75)</f>
        <v>1314.4</v>
      </c>
      <c r="L402" s="50">
        <f t="shared" si="7"/>
        <v>15.830423296000003</v>
      </c>
      <c r="M402" s="189"/>
      <c r="N402" s="189"/>
      <c r="O402" s="189"/>
      <c r="P402" s="189"/>
      <c r="Q402" s="189"/>
    </row>
    <row r="403" spans="2:17" x14ac:dyDescent="0.15">
      <c r="B403" s="226"/>
      <c r="C403" s="220" t="s">
        <v>137</v>
      </c>
      <c r="D403" s="220">
        <v>1</v>
      </c>
      <c r="E403" s="220">
        <v>250</v>
      </c>
      <c r="F403" s="203">
        <v>400</v>
      </c>
      <c r="G403" s="203">
        <v>6000</v>
      </c>
      <c r="H403" s="50" t="s">
        <v>130</v>
      </c>
      <c r="I403" s="50">
        <v>4</v>
      </c>
      <c r="J403" s="50">
        <v>25</v>
      </c>
      <c r="K403" s="49">
        <f>G403+2*IF((MAX(柱工程量计算!$E$3:$F$72)-$E$3)&gt;$D$3*J403,MAX($D$3*J403,0.5*MAX(柱工程量计算!$E$3:$F$72)+5*J403,MAX($D$3*J403,0.4*$D$3*J403+15*J403)))</f>
        <v>6000</v>
      </c>
      <c r="L403" s="50">
        <f t="shared" si="7"/>
        <v>92.55</v>
      </c>
      <c r="M403" s="189">
        <f>(2*F403+E403)*G403/10^6</f>
        <v>6.3</v>
      </c>
      <c r="N403" s="189">
        <f>PRODUCT(E403:G405)/10^9</f>
        <v>0.6</v>
      </c>
      <c r="O403" s="189">
        <f>SUM(L403:L405)</f>
        <v>124.68205689599999</v>
      </c>
      <c r="P403" s="189">
        <v>1</v>
      </c>
      <c r="Q403" s="189"/>
    </row>
    <row r="404" spans="2:17" x14ac:dyDescent="0.15">
      <c r="B404" s="226"/>
      <c r="C404" s="221"/>
      <c r="D404" s="221"/>
      <c r="E404" s="221"/>
      <c r="F404" s="201"/>
      <c r="G404" s="201"/>
      <c r="H404" s="50" t="s">
        <v>129</v>
      </c>
      <c r="I404" s="50">
        <v>2</v>
      </c>
      <c r="J404" s="50">
        <v>14</v>
      </c>
      <c r="K404" s="49">
        <f>G403+2*IF((MAX(柱工程量计算!$E$3:$F$72)-$E$3)&gt;$D$3*J404,MAX($D$3*J404,0.5*MAX(柱工程量计算!$E$3:$F$72)+5*J404),MAX($D$3*J404,0.4*$D$3*J404+15*J404))</f>
        <v>6740</v>
      </c>
      <c r="L404" s="50">
        <f t="shared" si="7"/>
        <v>16.301633599999995</v>
      </c>
      <c r="M404" s="189"/>
      <c r="N404" s="189"/>
      <c r="O404" s="189"/>
      <c r="P404" s="189"/>
      <c r="Q404" s="189"/>
    </row>
    <row r="405" spans="2:17" x14ac:dyDescent="0.15">
      <c r="B405" s="226"/>
      <c r="C405" s="222"/>
      <c r="D405" s="222"/>
      <c r="E405" s="222"/>
      <c r="F405" s="202"/>
      <c r="G405" s="202"/>
      <c r="H405" s="50" t="s">
        <v>108</v>
      </c>
      <c r="I405" s="50">
        <f>2*((IF($B$3="一级",MAX(2*F403,500),MAX(1.5*F403,500))-50)/200+1)+(G403-2*IF($B$3="一级",MAX(2*F403,500),MAX(1.5*F403,500)))/200-1</f>
        <v>30.5</v>
      </c>
      <c r="J405" s="50">
        <v>8</v>
      </c>
      <c r="K405" s="50">
        <f>(E403-2*$E$3+2*J405)*2+(F403-2*$E$3+2*J405)*2+2*1.9*J405+2*MAX(10*J405,75)</f>
        <v>1314.4</v>
      </c>
      <c r="L405" s="50">
        <f t="shared" si="7"/>
        <v>15.830423296000003</v>
      </c>
      <c r="M405" s="189"/>
      <c r="N405" s="189"/>
      <c r="O405" s="189"/>
      <c r="P405" s="189"/>
      <c r="Q405" s="189"/>
    </row>
    <row r="406" spans="2:17" x14ac:dyDescent="0.15">
      <c r="B406" s="226"/>
      <c r="C406" s="220" t="s">
        <v>138</v>
      </c>
      <c r="D406" s="220">
        <v>3</v>
      </c>
      <c r="E406" s="220">
        <v>250</v>
      </c>
      <c r="F406" s="203">
        <v>400</v>
      </c>
      <c r="G406" s="203">
        <v>6000</v>
      </c>
      <c r="H406" s="50" t="s">
        <v>121</v>
      </c>
      <c r="I406" s="50">
        <v>3</v>
      </c>
      <c r="J406" s="50">
        <v>20</v>
      </c>
      <c r="K406" s="49">
        <f>G406+2*IF((MAX(柱工程量计算!$E$3:$F$72)-$E$3)&gt;$D$3*J406,MAX($D$3*J406,0.5*MAX(柱工程量计算!$E$3:$F$72)+5*J406,MAX($D$3*J406,0.4*$D$3*J406+15*J406)))</f>
        <v>7050</v>
      </c>
      <c r="L406" s="50">
        <f t="shared" si="7"/>
        <v>52.1982</v>
      </c>
      <c r="M406" s="189">
        <f>(2*F406+E406)*G406/10^6</f>
        <v>6.3</v>
      </c>
      <c r="N406" s="189">
        <f>PRODUCT(E406:G409)/10^9</f>
        <v>0.6</v>
      </c>
      <c r="O406" s="189">
        <f>SUM(L406:L409)</f>
        <v>170.22949049599998</v>
      </c>
      <c r="P406" s="189">
        <v>2</v>
      </c>
      <c r="Q406" s="189">
        <v>1</v>
      </c>
    </row>
    <row r="407" spans="2:17" x14ac:dyDescent="0.15">
      <c r="B407" s="226"/>
      <c r="C407" s="221"/>
      <c r="D407" s="221"/>
      <c r="E407" s="221"/>
      <c r="F407" s="201"/>
      <c r="G407" s="201"/>
      <c r="H407" s="50" t="s">
        <v>120</v>
      </c>
      <c r="I407" s="50">
        <v>4</v>
      </c>
      <c r="J407" s="50">
        <v>20</v>
      </c>
      <c r="K407" s="49">
        <f>G406+2*IF((MAX(柱工程量计算!$E$3:$F$72)-$E$3)&gt;$D$3*J407,MAX($D$3*J407,0.5*MAX(柱工程量计算!$E$3:$F$72)+5*J407,MAX($D$3*J407,0.4*$D$3*J407+15*J407)))</f>
        <v>7050</v>
      </c>
      <c r="L407" s="50">
        <f t="shared" si="7"/>
        <v>69.5976</v>
      </c>
      <c r="M407" s="189"/>
      <c r="N407" s="189"/>
      <c r="O407" s="189"/>
      <c r="P407" s="189"/>
      <c r="Q407" s="189"/>
    </row>
    <row r="408" spans="2:17" x14ac:dyDescent="0.15">
      <c r="B408" s="226"/>
      <c r="C408" s="221"/>
      <c r="D408" s="221"/>
      <c r="E408" s="221"/>
      <c r="F408" s="201"/>
      <c r="G408" s="201"/>
      <c r="H408" s="50" t="s">
        <v>129</v>
      </c>
      <c r="I408" s="50">
        <v>4</v>
      </c>
      <c r="J408" s="50">
        <v>14</v>
      </c>
      <c r="K408" s="49">
        <f>G406+2*IF((MAX(柱工程量计算!$E$3:$F$72)-$E$3)&gt;$D$3*J408,MAX($D$3*J408,0.5*MAX(柱工程量计算!$E$3:$F$72)+5*J408),MAX($D$3*J408,0.4*$D$3*J408+15*J408))</f>
        <v>6740</v>
      </c>
      <c r="L408" s="50">
        <f t="shared" si="7"/>
        <v>32.603267199999991</v>
      </c>
      <c r="M408" s="189"/>
      <c r="N408" s="189"/>
      <c r="O408" s="189"/>
      <c r="P408" s="189"/>
      <c r="Q408" s="189"/>
    </row>
    <row r="409" spans="2:17" x14ac:dyDescent="0.15">
      <c r="B409" s="226"/>
      <c r="C409" s="222"/>
      <c r="D409" s="222"/>
      <c r="E409" s="222"/>
      <c r="F409" s="202"/>
      <c r="G409" s="202"/>
      <c r="H409" s="50" t="s">
        <v>108</v>
      </c>
      <c r="I409" s="50">
        <f>2*((IF($B$3="一级",MAX(2*F406,500),MAX(1.5*F406,500))-50)/200+1)+(G406-2*IF($B$3="一级",MAX(2*F406,500),MAX(1.5*F406,500)))/200-1</f>
        <v>30.5</v>
      </c>
      <c r="J409" s="50">
        <v>8</v>
      </c>
      <c r="K409" s="50">
        <f>(E406-2*$E$3+2*J409)*2+(F406-2*$E$3+2*J409)*2+2*1.9*J409+2*MAX(10*J409,75)</f>
        <v>1314.4</v>
      </c>
      <c r="L409" s="50">
        <f t="shared" si="7"/>
        <v>15.830423296000003</v>
      </c>
      <c r="M409" s="189"/>
      <c r="N409" s="189"/>
      <c r="O409" s="189"/>
      <c r="P409" s="189"/>
      <c r="Q409" s="189"/>
    </row>
    <row r="410" spans="2:17" x14ac:dyDescent="0.15">
      <c r="B410" s="226"/>
      <c r="C410" s="209" t="s">
        <v>139</v>
      </c>
      <c r="D410" s="209">
        <v>1</v>
      </c>
      <c r="E410" s="209">
        <v>250</v>
      </c>
      <c r="F410" s="189">
        <v>400</v>
      </c>
      <c r="G410" s="189">
        <v>6000</v>
      </c>
      <c r="H410" s="50" t="s">
        <v>130</v>
      </c>
      <c r="I410" s="50">
        <v>3</v>
      </c>
      <c r="J410" s="50">
        <v>25</v>
      </c>
      <c r="K410" s="49">
        <f>G410+2*IF((MAX(柱工程量计算!$E$3:$F$72)-$E$3)&gt;$D$3*J410,MAX($D$3*J410,0.5*MAX(柱工程量计算!$E$3:$F$72)+5*J410,MAX($D$3*J410,0.4*$D$3*J410+15*J410)))</f>
        <v>6000</v>
      </c>
      <c r="L410" s="50">
        <f t="shared" si="7"/>
        <v>69.412499999999994</v>
      </c>
      <c r="M410" s="189">
        <f>(2*F410+E410)*G410/10^6</f>
        <v>6.3</v>
      </c>
      <c r="N410" s="189">
        <f>PRODUCT(E410:G412)/10^9</f>
        <v>0.6</v>
      </c>
      <c r="O410" s="189">
        <f>SUM(L410:L412)</f>
        <v>106.85075689600001</v>
      </c>
      <c r="P410" s="189"/>
      <c r="Q410" s="189">
        <v>1</v>
      </c>
    </row>
    <row r="411" spans="2:17" x14ac:dyDescent="0.15">
      <c r="B411" s="226"/>
      <c r="C411" s="209"/>
      <c r="D411" s="209"/>
      <c r="E411" s="209"/>
      <c r="F411" s="189"/>
      <c r="G411" s="189"/>
      <c r="H411" s="50" t="s">
        <v>129</v>
      </c>
      <c r="I411" s="50">
        <v>2</v>
      </c>
      <c r="J411" s="50">
        <v>16</v>
      </c>
      <c r="K411" s="49">
        <f>G410+2*IF((MAX(柱工程量计算!$E$3:$F$72)-$E$3)&gt;$D$3*J411,MAX($D$3*J411,0.5*MAX(柱工程量计算!$E$3:$F$72)+5*J411),MAX($D$3*J411,0.4*$D$3*J411+15*J411))</f>
        <v>6840</v>
      </c>
      <c r="L411" s="50">
        <f t="shared" si="7"/>
        <v>21.607833600000003</v>
      </c>
      <c r="M411" s="189"/>
      <c r="N411" s="189"/>
      <c r="O411" s="189"/>
      <c r="P411" s="189"/>
      <c r="Q411" s="189"/>
    </row>
    <row r="412" spans="2:17" x14ac:dyDescent="0.15">
      <c r="B412" s="226"/>
      <c r="C412" s="209"/>
      <c r="D412" s="209"/>
      <c r="E412" s="209"/>
      <c r="F412" s="189"/>
      <c r="G412" s="189"/>
      <c r="H412" s="50" t="s">
        <v>108</v>
      </c>
      <c r="I412" s="50">
        <f>2*((IF($B$3="一级",MAX(2*F410,500),MAX(1.5*F410,500))-50)/200+1)+(G410-2*IF($B$3="一级",MAX(2*F410,500),MAX(1.5*F410,500)))/200-1</f>
        <v>30.5</v>
      </c>
      <c r="J412" s="50">
        <v>8</v>
      </c>
      <c r="K412" s="50">
        <f>(E410-2*$E$3+2*J412)*2+(F410-2*$E$3+2*J412)*2+2*1.9*J412+2*MAX(10*J412,75)</f>
        <v>1314.4</v>
      </c>
      <c r="L412" s="50">
        <f t="shared" si="7"/>
        <v>15.830423296000003</v>
      </c>
      <c r="M412" s="189"/>
      <c r="N412" s="189"/>
      <c r="O412" s="189"/>
      <c r="P412" s="189"/>
      <c r="Q412" s="189"/>
    </row>
    <row r="413" spans="2:17" x14ac:dyDescent="0.15">
      <c r="B413" s="226"/>
      <c r="C413" s="209" t="s">
        <v>140</v>
      </c>
      <c r="D413" s="209">
        <v>1</v>
      </c>
      <c r="E413" s="209">
        <v>250</v>
      </c>
      <c r="F413" s="189">
        <v>400</v>
      </c>
      <c r="G413" s="189">
        <v>6000</v>
      </c>
      <c r="H413" s="50" t="s">
        <v>130</v>
      </c>
      <c r="I413" s="50">
        <v>2</v>
      </c>
      <c r="J413" s="50">
        <v>32</v>
      </c>
      <c r="K413" s="49">
        <f>G413+2*IF((MAX(柱工程量计算!$E$3:$F$72)-$E$3)&gt;$D$3*J413,MAX($D$3*J413,0.5*MAX(柱工程量计算!$E$3:$F$72)+5*J413,MAX($D$3*J413,0.4*$D$3*J413+15*J413)))</f>
        <v>6000</v>
      </c>
      <c r="L413" s="50">
        <f t="shared" si="7"/>
        <v>75.816960000000009</v>
      </c>
      <c r="M413" s="189">
        <f>(2*F413+E413)*G413/10^6</f>
        <v>6.3</v>
      </c>
      <c r="N413" s="189">
        <f>PRODUCT(E413:G414)/10^9</f>
        <v>0.6</v>
      </c>
      <c r="O413" s="189">
        <f>SUM(L413:L414)</f>
        <v>113.22690400000002</v>
      </c>
      <c r="P413" s="189"/>
      <c r="Q413" s="189">
        <v>1</v>
      </c>
    </row>
    <row r="414" spans="2:17" x14ac:dyDescent="0.15">
      <c r="B414" s="226"/>
      <c r="C414" s="209"/>
      <c r="D414" s="209"/>
      <c r="E414" s="209"/>
      <c r="F414" s="189"/>
      <c r="G414" s="189"/>
      <c r="H414" s="50" t="s">
        <v>108</v>
      </c>
      <c r="I414" s="50">
        <f>2*((IF($B$3="一级",MAX(2*F413,500),MAX(1.5*F413,500))-50)/100+1)+(G413-2*IF($B$3="一级",MAX(2*F413,500),MAX(1.5*F413,500)))/150-1</f>
        <v>44</v>
      </c>
      <c r="J414" s="50">
        <v>10</v>
      </c>
      <c r="K414" s="50">
        <f>(E413-2*$E$3+2*J414)*2+(F413-2*$E$3+2*J414)*2+2*1.9*J414+2*MAX(10*J414,75)</f>
        <v>1378</v>
      </c>
      <c r="L414" s="50">
        <f t="shared" si="7"/>
        <v>37.409944000000003</v>
      </c>
      <c r="M414" s="189"/>
      <c r="N414" s="189"/>
      <c r="O414" s="189"/>
      <c r="P414" s="189"/>
      <c r="Q414" s="189"/>
    </row>
    <row r="415" spans="2:17" x14ac:dyDescent="0.15">
      <c r="B415" s="226"/>
      <c r="C415" s="209" t="s">
        <v>128</v>
      </c>
      <c r="D415" s="218" t="s">
        <v>106</v>
      </c>
      <c r="E415" s="219"/>
      <c r="F415" s="218">
        <v>42600</v>
      </c>
      <c r="G415" s="219"/>
      <c r="H415" s="50" t="s">
        <v>103</v>
      </c>
      <c r="I415" s="50">
        <v>2</v>
      </c>
      <c r="J415" s="50">
        <v>22</v>
      </c>
      <c r="K415" s="49">
        <f>F415+2*IF((MAX(柱工程量计算!$E$3:$F$72)-$E$3)&gt;$D$3*J415,MAX($D$3*J415,0.5*MAX(柱工程量计算!$E$3:$F$72)+5*J415,MAX($D$3*J415,0.4*$D$3*J415+15*J415)))</f>
        <v>42600</v>
      </c>
      <c r="L415" s="50">
        <f t="shared" si="7"/>
        <v>254.43105600000001</v>
      </c>
      <c r="M415" s="189">
        <f>(2*F417+E417)*G417/10^6</f>
        <v>7.5</v>
      </c>
      <c r="N415" s="189">
        <f>PRODUCT(E417:G425)/10^9</f>
        <v>0.75</v>
      </c>
      <c r="O415" s="189">
        <f>SUM(L415:L425)</f>
        <v>607.07929772200009</v>
      </c>
      <c r="P415" s="189">
        <v>3</v>
      </c>
      <c r="Q415" s="189">
        <v>3</v>
      </c>
    </row>
    <row r="416" spans="2:17" x14ac:dyDescent="0.15">
      <c r="B416" s="226"/>
      <c r="C416" s="209"/>
      <c r="D416" s="223"/>
      <c r="E416" s="224"/>
      <c r="F416" s="223"/>
      <c r="G416" s="224"/>
      <c r="H416" s="50" t="s">
        <v>100</v>
      </c>
      <c r="I416" s="50">
        <v>4</v>
      </c>
      <c r="J416" s="50">
        <v>12</v>
      </c>
      <c r="K416" s="49">
        <f>IF(F417&gt;=450,F415+2*IF((MAX(柱工程量计算!$E$3:$F$72)-$E$3)&gt;$D$3*J416,MAX($D$3*J416,0.5*MAX(柱工程量计算!$E$3:$F$72)+5*J416),MAX($D$3*J416,0.4*$D$3*J416+15*J416)),F415+15*J416)</f>
        <v>43320</v>
      </c>
      <c r="L416" s="50">
        <f t="shared" si="7"/>
        <v>153.95581440000001</v>
      </c>
      <c r="M416" s="189"/>
      <c r="N416" s="189"/>
      <c r="O416" s="189"/>
      <c r="P416" s="189"/>
      <c r="Q416" s="189"/>
    </row>
    <row r="417" spans="1:17" x14ac:dyDescent="0.15">
      <c r="B417" s="226"/>
      <c r="C417" s="209"/>
      <c r="D417" s="209">
        <v>6</v>
      </c>
      <c r="E417" s="209">
        <v>250</v>
      </c>
      <c r="F417" s="189">
        <v>500</v>
      </c>
      <c r="G417" s="189">
        <v>6000</v>
      </c>
      <c r="H417" s="50" t="s">
        <v>95</v>
      </c>
      <c r="I417" s="50">
        <v>2</v>
      </c>
      <c r="J417" s="50">
        <v>22</v>
      </c>
      <c r="K417" s="49">
        <f>G417/3+MAX($D$3*J417,0.4*$D$3*J417+15*J417,MAX(柱工程量计算!$E$3:$F$72)-$E$3+15*J417)</f>
        <v>2900</v>
      </c>
      <c r="L417" s="50">
        <f t="shared" si="7"/>
        <v>17.320424000000003</v>
      </c>
      <c r="M417" s="189"/>
      <c r="N417" s="189"/>
      <c r="O417" s="189"/>
      <c r="P417" s="189"/>
      <c r="Q417" s="189"/>
    </row>
    <row r="418" spans="1:17" x14ac:dyDescent="0.15">
      <c r="B418" s="226"/>
      <c r="C418" s="209"/>
      <c r="D418" s="209"/>
      <c r="E418" s="209"/>
      <c r="F418" s="189"/>
      <c r="G418" s="189"/>
      <c r="H418" s="50" t="s">
        <v>97</v>
      </c>
      <c r="I418" s="50">
        <v>2</v>
      </c>
      <c r="J418" s="50">
        <v>20</v>
      </c>
      <c r="K418" s="49">
        <f>G417/4+MAX($D$3*J418,0.4*$D$3*J418+15*J418,MAX(柱工程量计算!$E$3:$F$72)-$E$3+15*J418)</f>
        <v>2370</v>
      </c>
      <c r="L418" s="50">
        <f t="shared" si="7"/>
        <v>11.698319999999999</v>
      </c>
      <c r="M418" s="189"/>
      <c r="N418" s="189"/>
      <c r="O418" s="189"/>
      <c r="P418" s="189"/>
      <c r="Q418" s="189"/>
    </row>
    <row r="419" spans="1:17" x14ac:dyDescent="0.15">
      <c r="B419" s="226"/>
      <c r="C419" s="209"/>
      <c r="D419" s="209"/>
      <c r="E419" s="209"/>
      <c r="F419" s="189"/>
      <c r="G419" s="189"/>
      <c r="H419" s="50" t="s">
        <v>98</v>
      </c>
      <c r="I419" s="50">
        <v>2</v>
      </c>
      <c r="J419" s="50">
        <v>22</v>
      </c>
      <c r="K419" s="49">
        <f>G417/3+MAX($D$3*J419,0.4*$D$3*J419+15*J419,MAX(柱工程量计算!$E$3:$F$72)-$E$3+15*J419)</f>
        <v>2900</v>
      </c>
      <c r="L419" s="50">
        <f t="shared" si="7"/>
        <v>17.320424000000003</v>
      </c>
      <c r="M419" s="189"/>
      <c r="N419" s="189"/>
      <c r="O419" s="189"/>
      <c r="P419" s="189"/>
      <c r="Q419" s="189"/>
    </row>
    <row r="420" spans="1:17" x14ac:dyDescent="0.15">
      <c r="B420" s="226"/>
      <c r="C420" s="209"/>
      <c r="D420" s="209"/>
      <c r="E420" s="209"/>
      <c r="F420" s="189"/>
      <c r="G420" s="189"/>
      <c r="H420" s="50" t="s">
        <v>99</v>
      </c>
      <c r="I420" s="50">
        <v>2</v>
      </c>
      <c r="J420" s="50">
        <v>20</v>
      </c>
      <c r="K420" s="49">
        <f>G417/4+MAX($D$3*J420,0.4*$D$3*J420+15*J420,MAX(柱工程量计算!$E$3:$F$72)-$E$3+15*J420)</f>
        <v>2370</v>
      </c>
      <c r="L420" s="50">
        <f t="shared" si="7"/>
        <v>11.698319999999999</v>
      </c>
      <c r="M420" s="189"/>
      <c r="N420" s="189"/>
      <c r="O420" s="189"/>
      <c r="P420" s="189"/>
      <c r="Q420" s="189"/>
    </row>
    <row r="421" spans="1:17" x14ac:dyDescent="0.15">
      <c r="B421" s="226"/>
      <c r="C421" s="209"/>
      <c r="D421" s="209"/>
      <c r="E421" s="209"/>
      <c r="F421" s="189"/>
      <c r="G421" s="189"/>
      <c r="H421" s="50" t="s">
        <v>121</v>
      </c>
      <c r="I421" s="50">
        <v>2</v>
      </c>
      <c r="J421" s="50">
        <v>25</v>
      </c>
      <c r="K421" s="49">
        <f>G417+2*IF((MAX(柱工程量计算!$E$3:$F$72)-$E$3)&gt;$D$3*J421,MAX($D$3*J421,0.5*MAX(柱工程量计算!$E$3:$F$72)+5*J421),MAX($D$3*J421,0.4*$D$3*J421+15*J421))</f>
        <v>7312.5</v>
      </c>
      <c r="L421" s="50">
        <f t="shared" si="7"/>
        <v>56.397656249999997</v>
      </c>
      <c r="M421" s="189"/>
      <c r="N421" s="189"/>
      <c r="O421" s="189"/>
      <c r="P421" s="189"/>
      <c r="Q421" s="189"/>
    </row>
    <row r="422" spans="1:17" x14ac:dyDescent="0.15">
      <c r="B422" s="226"/>
      <c r="C422" s="209"/>
      <c r="D422" s="209"/>
      <c r="E422" s="209"/>
      <c r="F422" s="189"/>
      <c r="G422" s="189"/>
      <c r="H422" s="50" t="s">
        <v>120</v>
      </c>
      <c r="I422" s="50">
        <v>2</v>
      </c>
      <c r="J422" s="50">
        <v>20</v>
      </c>
      <c r="K422" s="49">
        <f>G417+2*IF((MAX(柱工程量计算!$E$3:$F$72)-$E$3)&gt;$D$3*J422,MAX($D$3*J422,0.5*MAX(柱工程量计算!$E$3:$F$72)+5*J422),MAX($D$3*J422,0.4*$D$3*J422+15*J422))</f>
        <v>7050</v>
      </c>
      <c r="L422" s="50">
        <f t="shared" si="7"/>
        <v>34.7988</v>
      </c>
      <c r="M422" s="189"/>
      <c r="N422" s="189"/>
      <c r="O422" s="189"/>
      <c r="P422" s="189"/>
      <c r="Q422" s="189"/>
    </row>
    <row r="423" spans="1:17" x14ac:dyDescent="0.15">
      <c r="B423" s="226"/>
      <c r="C423" s="209"/>
      <c r="D423" s="209"/>
      <c r="E423" s="209"/>
      <c r="F423" s="189"/>
      <c r="G423" s="189"/>
      <c r="H423" s="50" t="s">
        <v>107</v>
      </c>
      <c r="I423" s="50">
        <f>((G417-50*2)/200*2+1)*$I$6/2</f>
        <v>120</v>
      </c>
      <c r="J423" s="50">
        <f>IF(E417&lt;=350,6,8)</f>
        <v>6</v>
      </c>
      <c r="K423" s="49">
        <f>E417-2*$E$3+2*1.9*J423+2*MAX(10*J423,75)+2*J423</f>
        <v>374.8</v>
      </c>
      <c r="L423" s="50">
        <f t="shared" si="7"/>
        <v>9.9900691199999976</v>
      </c>
      <c r="M423" s="189"/>
      <c r="N423" s="189"/>
      <c r="O423" s="189"/>
      <c r="P423" s="189"/>
      <c r="Q423" s="189"/>
    </row>
    <row r="424" spans="1:17" x14ac:dyDescent="0.15">
      <c r="B424" s="226"/>
      <c r="C424" s="209"/>
      <c r="D424" s="209"/>
      <c r="E424" s="209"/>
      <c r="F424" s="189"/>
      <c r="G424" s="189"/>
      <c r="H424" s="50" t="s">
        <v>108</v>
      </c>
      <c r="I424" s="50">
        <f>2*((IF($B$3="一级",MAX(2*F417,500),MAX(1.5*F417,500))-50)/100+1)+(G417-2*IF($B$3="一级",MAX(2*F417,500),MAX(1.5*F417,500)))/100-1</f>
        <v>60</v>
      </c>
      <c r="J424" s="50">
        <v>8</v>
      </c>
      <c r="K424" s="50">
        <f>(E417-2*$E$3+2*J424)*2+(F417-2*$E$3+2*J424)*2+2*1.9*J424+2*MAX(10*J424,75)</f>
        <v>1514.4</v>
      </c>
      <c r="L424" s="50">
        <f t="shared" si="7"/>
        <v>35.880376320000003</v>
      </c>
      <c r="M424" s="189"/>
      <c r="N424" s="189"/>
      <c r="O424" s="189"/>
      <c r="P424" s="189"/>
      <c r="Q424" s="189"/>
    </row>
    <row r="425" spans="1:17" x14ac:dyDescent="0.15">
      <c r="B425" s="226"/>
      <c r="C425" s="209"/>
      <c r="D425" s="209"/>
      <c r="E425" s="209"/>
      <c r="F425" s="189"/>
      <c r="G425" s="189"/>
      <c r="H425" s="50" t="s">
        <v>132</v>
      </c>
      <c r="I425" s="50">
        <v>6</v>
      </c>
      <c r="J425" s="50">
        <v>8</v>
      </c>
      <c r="K425" s="49">
        <f>(E417-2*$E$3+2*J425)*2+(F417-2*$E$3+2*J425)*2+2*1.9*J425+2*MAX(10*J425,75)</f>
        <v>1514.4</v>
      </c>
      <c r="L425" s="50">
        <f t="shared" si="7"/>
        <v>3.5880376320000007</v>
      </c>
      <c r="M425" s="189"/>
      <c r="N425" s="189"/>
      <c r="O425" s="189"/>
      <c r="P425" s="189"/>
      <c r="Q425" s="189"/>
    </row>
    <row r="426" spans="1:17" x14ac:dyDescent="0.15">
      <c r="B426" s="226"/>
      <c r="C426" s="209" t="s">
        <v>131</v>
      </c>
      <c r="D426" s="218" t="s">
        <v>106</v>
      </c>
      <c r="E426" s="219"/>
      <c r="F426" s="218">
        <v>42600</v>
      </c>
      <c r="G426" s="219"/>
      <c r="H426" s="50" t="s">
        <v>103</v>
      </c>
      <c r="I426" s="50">
        <v>2</v>
      </c>
      <c r="J426" s="50">
        <v>22</v>
      </c>
      <c r="K426" s="49">
        <f>F426+2*IF((MAX(柱工程量计算!$E$3:$F$72)-$E$3)&gt;$D$3*J426,MAX($D$3*J426,0.5*MAX(柱工程量计算!$E$3:$F$72)+5*J426,MAX($D$3*J426,0.4*$D$3*J426+15*J426)))</f>
        <v>42600</v>
      </c>
      <c r="L426" s="50">
        <f t="shared" si="7"/>
        <v>254.43105600000001</v>
      </c>
      <c r="M426" s="189">
        <f>(2*F428+E428)*G428/10^6</f>
        <v>7.5</v>
      </c>
      <c r="N426" s="189">
        <f>PRODUCT(E428:G436)/10^9</f>
        <v>0.75</v>
      </c>
      <c r="O426" s="189">
        <f>SUM(L426:L436)</f>
        <v>622.05709612200008</v>
      </c>
      <c r="P426" s="189">
        <v>1</v>
      </c>
      <c r="Q426" s="189"/>
    </row>
    <row r="427" spans="1:17" x14ac:dyDescent="0.15">
      <c r="B427" s="226"/>
      <c r="C427" s="209"/>
      <c r="D427" s="223"/>
      <c r="E427" s="224"/>
      <c r="F427" s="223"/>
      <c r="G427" s="224"/>
      <c r="H427" s="50" t="s">
        <v>100</v>
      </c>
      <c r="I427" s="50">
        <v>4</v>
      </c>
      <c r="J427" s="50">
        <v>12</v>
      </c>
      <c r="K427" s="49">
        <f>IF(F428&gt;=450,F426+2*IF((MAX(柱工程量计算!$E$3:$F$72)-$E$3)&gt;$D$3*J427,MAX($D$3*J427,0.5*MAX(柱工程量计算!$E$3:$F$72)+5*J427),MAX($D$3*J427,0.4*$D$3*J427+15*J427)),F426+15*J427)</f>
        <v>43320</v>
      </c>
      <c r="L427" s="50">
        <f t="shared" si="7"/>
        <v>153.95581440000001</v>
      </c>
      <c r="M427" s="189"/>
      <c r="N427" s="189"/>
      <c r="O427" s="189"/>
      <c r="P427" s="189"/>
      <c r="Q427" s="189"/>
    </row>
    <row r="428" spans="1:17" x14ac:dyDescent="0.15">
      <c r="B428" s="226"/>
      <c r="C428" s="209"/>
      <c r="D428" s="209">
        <v>1</v>
      </c>
      <c r="E428" s="209">
        <v>250</v>
      </c>
      <c r="F428" s="189">
        <v>500</v>
      </c>
      <c r="G428" s="189">
        <v>6000</v>
      </c>
      <c r="H428" s="50" t="s">
        <v>95</v>
      </c>
      <c r="I428" s="50">
        <v>2</v>
      </c>
      <c r="J428" s="50">
        <v>22</v>
      </c>
      <c r="K428" s="49">
        <f>G428/3+MAX($D$3*J428,0.4*$D$3*J428+15*J428,MAX(柱工程量计算!$E$3:$F$72)-$E$3+15*J428)</f>
        <v>2900</v>
      </c>
      <c r="L428" s="50">
        <f t="shared" si="7"/>
        <v>17.320424000000003</v>
      </c>
      <c r="M428" s="189"/>
      <c r="N428" s="189"/>
      <c r="O428" s="189"/>
      <c r="P428" s="189"/>
      <c r="Q428" s="189"/>
    </row>
    <row r="429" spans="1:17" x14ac:dyDescent="0.15">
      <c r="B429" s="226"/>
      <c r="C429" s="209"/>
      <c r="D429" s="209"/>
      <c r="E429" s="209"/>
      <c r="F429" s="189"/>
      <c r="G429" s="189"/>
      <c r="H429" s="50" t="s">
        <v>97</v>
      </c>
      <c r="I429" s="50">
        <v>2</v>
      </c>
      <c r="J429" s="50">
        <v>20</v>
      </c>
      <c r="K429" s="49">
        <f>G428/4+MAX($D$3*J429,0.4*$D$3*J429+15*J429,MAX(柱工程量计算!$E$3:$F$72)-$E$3+15*J429)</f>
        <v>2370</v>
      </c>
      <c r="L429" s="50">
        <f t="shared" si="7"/>
        <v>11.698319999999999</v>
      </c>
      <c r="M429" s="189"/>
      <c r="N429" s="189"/>
      <c r="O429" s="189"/>
      <c r="P429" s="189"/>
      <c r="Q429" s="189"/>
    </row>
    <row r="430" spans="1:17" x14ac:dyDescent="0.15">
      <c r="B430" s="226"/>
      <c r="C430" s="209"/>
      <c r="D430" s="209"/>
      <c r="E430" s="209"/>
      <c r="F430" s="189"/>
      <c r="G430" s="189"/>
      <c r="H430" s="50" t="s">
        <v>98</v>
      </c>
      <c r="I430" s="50">
        <v>4</v>
      </c>
      <c r="J430" s="50">
        <v>22</v>
      </c>
      <c r="K430" s="49">
        <f>G428/3+MAX($D$3*J430,0.4*$D$3*J430+15*J430,MAX(柱工程量计算!$E$3:$F$72)-$E$3+15*J430)</f>
        <v>2900</v>
      </c>
      <c r="L430" s="50">
        <f t="shared" si="7"/>
        <v>34.640848000000005</v>
      </c>
      <c r="M430" s="189"/>
      <c r="N430" s="189"/>
      <c r="O430" s="189"/>
      <c r="P430" s="189"/>
      <c r="Q430" s="189"/>
    </row>
    <row r="431" spans="1:17" x14ac:dyDescent="0.15">
      <c r="B431" s="226"/>
      <c r="C431" s="209"/>
      <c r="D431" s="209"/>
      <c r="E431" s="209"/>
      <c r="F431" s="189"/>
      <c r="G431" s="189"/>
      <c r="H431" s="50" t="s">
        <v>99</v>
      </c>
      <c r="I431" s="50">
        <v>2</v>
      </c>
      <c r="J431" s="50">
        <v>18</v>
      </c>
      <c r="K431" s="49">
        <f>G428/4+MAX($D$3*J431,0.4*$D$3*J431+15*J431,MAX(柱工程量计算!$E$3:$F$72)-$E$3+15*J431)</f>
        <v>2340</v>
      </c>
      <c r="L431" s="50">
        <f t="shared" si="7"/>
        <v>9.3556944000000009</v>
      </c>
      <c r="M431" s="189"/>
      <c r="N431" s="189"/>
      <c r="O431" s="189"/>
      <c r="P431" s="189"/>
      <c r="Q431" s="189"/>
    </row>
    <row r="432" spans="1:17" s="46" customFormat="1" x14ac:dyDescent="0.15">
      <c r="A432" s="195"/>
      <c r="B432" s="226"/>
      <c r="C432" s="209"/>
      <c r="D432" s="209"/>
      <c r="E432" s="209"/>
      <c r="F432" s="189"/>
      <c r="G432" s="189"/>
      <c r="H432" s="50" t="s">
        <v>121</v>
      </c>
      <c r="I432" s="50">
        <v>2</v>
      </c>
      <c r="J432" s="50">
        <v>25</v>
      </c>
      <c r="K432" s="49">
        <f>G428+2*IF((MAX(柱工程量计算!$E$3:$F$72)-$E$3)&gt;$D$3*J432,MAX($D$3*J432,0.5*MAX(柱工程量计算!$E$3:$F$72)+5*J432),MAX($D$3*J432,0.4*$D$3*J432+15*J432))</f>
        <v>7312.5</v>
      </c>
      <c r="L432" s="50">
        <f t="shared" si="7"/>
        <v>56.397656249999997</v>
      </c>
      <c r="M432" s="189"/>
      <c r="N432" s="189"/>
      <c r="O432" s="189"/>
      <c r="P432" s="189"/>
      <c r="Q432" s="189"/>
    </row>
    <row r="433" spans="1:17" x14ac:dyDescent="0.15">
      <c r="B433" s="226"/>
      <c r="C433" s="209"/>
      <c r="D433" s="209"/>
      <c r="E433" s="209"/>
      <c r="F433" s="189"/>
      <c r="G433" s="189"/>
      <c r="H433" s="50" t="s">
        <v>120</v>
      </c>
      <c r="I433" s="50">
        <v>2</v>
      </c>
      <c r="J433" s="50">
        <v>20</v>
      </c>
      <c r="K433" s="49">
        <f>G428+2*IF((MAX(柱工程量计算!$E$3:$F$72)-$E$3)&gt;$D$3*J433,MAX($D$3*J433,0.5*MAX(柱工程量计算!$E$3:$F$72)+5*J433),MAX($D$3*J433,0.4*$D$3*J433+15*J433))</f>
        <v>7050</v>
      </c>
      <c r="L433" s="50">
        <f t="shared" si="7"/>
        <v>34.7988</v>
      </c>
      <c r="M433" s="189"/>
      <c r="N433" s="189"/>
      <c r="O433" s="189"/>
      <c r="P433" s="189"/>
      <c r="Q433" s="189"/>
    </row>
    <row r="434" spans="1:17" x14ac:dyDescent="0.15">
      <c r="B434" s="226"/>
      <c r="C434" s="209"/>
      <c r="D434" s="209"/>
      <c r="E434" s="209"/>
      <c r="F434" s="189"/>
      <c r="G434" s="189"/>
      <c r="H434" s="50" t="s">
        <v>107</v>
      </c>
      <c r="I434" s="50">
        <f>((G428-50*2)/200*2+1)*$I$6/2</f>
        <v>120</v>
      </c>
      <c r="J434" s="50">
        <f>IF(E428&lt;=350,6,8)</f>
        <v>6</v>
      </c>
      <c r="K434" s="49">
        <f>E428-2*$E$3+2*1.9*J434+2*MAX(10*J434,75)+2*J434</f>
        <v>374.8</v>
      </c>
      <c r="L434" s="50">
        <f t="shared" si="7"/>
        <v>9.9900691199999976</v>
      </c>
      <c r="M434" s="189"/>
      <c r="N434" s="189"/>
      <c r="O434" s="189"/>
      <c r="P434" s="189"/>
      <c r="Q434" s="189"/>
    </row>
    <row r="435" spans="1:17" x14ac:dyDescent="0.15">
      <c r="B435" s="226"/>
      <c r="C435" s="209"/>
      <c r="D435" s="209"/>
      <c r="E435" s="209"/>
      <c r="F435" s="189"/>
      <c r="G435" s="189"/>
      <c r="H435" s="50" t="s">
        <v>108</v>
      </c>
      <c r="I435" s="50">
        <f>2*((IF($B$3="一级",MAX(2*F428,500),MAX(1.5*F428,500))-50)/100+1)+(G428-2*IF($B$3="一级",MAX(2*F428,500),MAX(1.5*F428,500)))/100-1</f>
        <v>60</v>
      </c>
      <c r="J435" s="50">
        <v>8</v>
      </c>
      <c r="K435" s="50">
        <f>(E428-2*$E$3+2*J435)*2+(F428-2*$E$3+2*J435)*2+2*1.9*J435+2*MAX(10*J435,75)</f>
        <v>1514.4</v>
      </c>
      <c r="L435" s="50">
        <f t="shared" si="7"/>
        <v>35.880376320000003</v>
      </c>
      <c r="M435" s="189"/>
      <c r="N435" s="189"/>
      <c r="O435" s="189"/>
      <c r="P435" s="189"/>
      <c r="Q435" s="189"/>
    </row>
    <row r="436" spans="1:17" x14ac:dyDescent="0.15">
      <c r="B436" s="226"/>
      <c r="C436" s="209"/>
      <c r="D436" s="209"/>
      <c r="E436" s="209"/>
      <c r="F436" s="189"/>
      <c r="G436" s="189"/>
      <c r="H436" s="50" t="s">
        <v>132</v>
      </c>
      <c r="I436" s="50">
        <v>6</v>
      </c>
      <c r="J436" s="50">
        <v>8</v>
      </c>
      <c r="K436" s="49">
        <f>(E428-2*$E$3+2*J436)*2+(F428-2*$E$3+2*J436)*2+2*1.9*J436+2*MAX(10*J436,75)</f>
        <v>1514.4</v>
      </c>
      <c r="L436" s="50">
        <f t="shared" si="7"/>
        <v>3.5880376320000007</v>
      </c>
      <c r="M436" s="189"/>
      <c r="N436" s="189"/>
      <c r="O436" s="189"/>
      <c r="P436" s="189"/>
      <c r="Q436" s="189"/>
    </row>
    <row r="437" spans="1:17" x14ac:dyDescent="0.15">
      <c r="B437" s="226"/>
      <c r="C437" s="209"/>
      <c r="D437" s="209">
        <v>3</v>
      </c>
      <c r="E437" s="209">
        <v>250</v>
      </c>
      <c r="F437" s="189">
        <v>500</v>
      </c>
      <c r="G437" s="189">
        <v>6000</v>
      </c>
      <c r="H437" s="50" t="s">
        <v>95</v>
      </c>
      <c r="I437" s="50">
        <v>4</v>
      </c>
      <c r="J437" s="50">
        <v>22</v>
      </c>
      <c r="K437" s="49">
        <f>G437/3+MAX($D$3*J437,0.4*$D$3*J437+15*J437,MAX(柱工程量计算!$E$3:$F$72)-$E$3+15*J437)</f>
        <v>2900</v>
      </c>
      <c r="L437" s="50">
        <f t="shared" si="7"/>
        <v>34.640848000000005</v>
      </c>
      <c r="M437" s="189">
        <f>(2*F437+E437)*G437/10^6</f>
        <v>7.5</v>
      </c>
      <c r="N437" s="189">
        <f>PRODUCT(E437:G442)/10^9</f>
        <v>0.75</v>
      </c>
      <c r="O437" s="189">
        <f>SUM(L437:L442)</f>
        <v>226.74469635200001</v>
      </c>
      <c r="P437" s="189">
        <v>2</v>
      </c>
      <c r="Q437" s="189">
        <v>1</v>
      </c>
    </row>
    <row r="438" spans="1:17" x14ac:dyDescent="0.15">
      <c r="B438" s="226"/>
      <c r="C438" s="209"/>
      <c r="D438" s="209"/>
      <c r="E438" s="209"/>
      <c r="F438" s="189"/>
      <c r="G438" s="189"/>
      <c r="H438" s="50" t="s">
        <v>98</v>
      </c>
      <c r="I438" s="50">
        <v>4</v>
      </c>
      <c r="J438" s="50">
        <v>22</v>
      </c>
      <c r="K438" s="49">
        <f>G437/3+MAX($D$3*J438,0.4*$D$3*J438+15*J438,MAX(柱工程量计算!$E$3:$F$72)-$E$3+15*J438)</f>
        <v>2900</v>
      </c>
      <c r="L438" s="50">
        <f t="shared" si="7"/>
        <v>34.640848000000005</v>
      </c>
      <c r="M438" s="189"/>
      <c r="N438" s="189"/>
      <c r="O438" s="189"/>
      <c r="P438" s="189"/>
      <c r="Q438" s="189"/>
    </row>
    <row r="439" spans="1:17" x14ac:dyDescent="0.15">
      <c r="B439" s="226"/>
      <c r="C439" s="209"/>
      <c r="D439" s="209"/>
      <c r="E439" s="209"/>
      <c r="F439" s="189"/>
      <c r="G439" s="189"/>
      <c r="H439" s="50" t="s">
        <v>121</v>
      </c>
      <c r="I439" s="50">
        <v>4</v>
      </c>
      <c r="J439" s="50">
        <v>22</v>
      </c>
      <c r="K439" s="49">
        <f>G437+2*IF((MAX(柱工程量计算!$E$3:$F$72)-$E$3)&gt;$D$3*J439,MAX($D$3*J439,0.5*MAX(柱工程量计算!$E$3:$F$72)+5*J439),MAX($D$3*J439,0.4*$D$3*J439+15*J439))</f>
        <v>7155</v>
      </c>
      <c r="L439" s="50">
        <f t="shared" si="7"/>
        <v>85.467333600000018</v>
      </c>
      <c r="M439" s="189"/>
      <c r="N439" s="189"/>
      <c r="O439" s="189"/>
      <c r="P439" s="189"/>
      <c r="Q439" s="189"/>
    </row>
    <row r="440" spans="1:17" x14ac:dyDescent="0.15">
      <c r="B440" s="226"/>
      <c r="C440" s="209"/>
      <c r="D440" s="209"/>
      <c r="E440" s="209"/>
      <c r="F440" s="189"/>
      <c r="G440" s="189"/>
      <c r="H440" s="50" t="s">
        <v>107</v>
      </c>
      <c r="I440" s="50">
        <f>((G437-50*2)/200*2+1)*$I$6/2</f>
        <v>120</v>
      </c>
      <c r="J440" s="50">
        <f>IF(E437&lt;=350,6,8)</f>
        <v>6</v>
      </c>
      <c r="K440" s="49">
        <f>E437-2*$E$3+2*1.9*J440+2*MAX(10*J440,75)+2*J440</f>
        <v>374.8</v>
      </c>
      <c r="L440" s="50">
        <f t="shared" si="7"/>
        <v>9.9900691199999976</v>
      </c>
      <c r="M440" s="189"/>
      <c r="N440" s="189"/>
      <c r="O440" s="189"/>
      <c r="P440" s="189"/>
      <c r="Q440" s="189"/>
    </row>
    <row r="441" spans="1:17" x14ac:dyDescent="0.15">
      <c r="B441" s="226"/>
      <c r="C441" s="209"/>
      <c r="D441" s="209"/>
      <c r="E441" s="209"/>
      <c r="F441" s="189"/>
      <c r="G441" s="189"/>
      <c r="H441" s="50" t="s">
        <v>108</v>
      </c>
      <c r="I441" s="50">
        <f>2*((IF($B$3="一级",MAX(2*F437,500),MAX(1.5*F437,500))-50)/100+1)+(G437-2*IF($B$3="一级",MAX(2*F437,500),MAX(1.5*F437,500)))/100-1</f>
        <v>60</v>
      </c>
      <c r="J441" s="50">
        <v>10</v>
      </c>
      <c r="K441" s="50">
        <f>(E437-2*$E$3+2*J441)*2+(F437-2*$E$3+2*J441)*2+2*1.9*J441+2*MAX(10*J441,75)</f>
        <v>1578</v>
      </c>
      <c r="L441" s="50">
        <f t="shared" si="7"/>
        <v>58.417559999999987</v>
      </c>
      <c r="M441" s="189"/>
      <c r="N441" s="189"/>
      <c r="O441" s="189"/>
      <c r="P441" s="189"/>
      <c r="Q441" s="189"/>
    </row>
    <row r="442" spans="1:17" x14ac:dyDescent="0.15">
      <c r="B442" s="226"/>
      <c r="C442" s="209"/>
      <c r="D442" s="209"/>
      <c r="E442" s="209"/>
      <c r="F442" s="189"/>
      <c r="G442" s="189"/>
      <c r="H442" s="50" t="s">
        <v>132</v>
      </c>
      <c r="I442" s="50">
        <v>6</v>
      </c>
      <c r="J442" s="50">
        <v>8</v>
      </c>
      <c r="K442" s="49">
        <f>(E437-2*$E$3+2*J442)*2+(F437-2*$E$3+2*J442)*2+2*1.9*J442+2*MAX(10*J442,75)</f>
        <v>1514.4</v>
      </c>
      <c r="L442" s="50">
        <f t="shared" si="7"/>
        <v>3.5880376320000007</v>
      </c>
      <c r="M442" s="189"/>
      <c r="N442" s="189"/>
      <c r="O442" s="189"/>
      <c r="P442" s="189"/>
      <c r="Q442" s="189"/>
    </row>
    <row r="443" spans="1:17" x14ac:dyDescent="0.15">
      <c r="B443" s="226"/>
      <c r="C443" s="209"/>
      <c r="D443" s="209">
        <v>1</v>
      </c>
      <c r="E443" s="209">
        <v>250</v>
      </c>
      <c r="F443" s="189">
        <v>500</v>
      </c>
      <c r="G443" s="189">
        <v>6000</v>
      </c>
      <c r="H443" s="50" t="s">
        <v>95</v>
      </c>
      <c r="I443" s="50">
        <v>4</v>
      </c>
      <c r="J443" s="50">
        <v>22</v>
      </c>
      <c r="K443" s="49">
        <f>G437/3+MAX($D$3*J443,0.4*$D$3*J443+15*J443,MAX(柱工程量计算!$E$3:$F$72)-$E$3+15*J443)</f>
        <v>2900</v>
      </c>
      <c r="L443" s="50">
        <f t="shared" si="7"/>
        <v>34.640848000000005</v>
      </c>
      <c r="M443" s="189">
        <f>(2*F443+E443)*G443/10^6</f>
        <v>7.5</v>
      </c>
      <c r="N443" s="189">
        <f>PRODUCT(E443:G450)/10^9</f>
        <v>0.75</v>
      </c>
      <c r="O443" s="189">
        <f>SUM(L443:L450)</f>
        <v>217.99829192000001</v>
      </c>
      <c r="P443" s="189"/>
      <c r="Q443" s="189">
        <v>1</v>
      </c>
    </row>
    <row r="444" spans="1:17" x14ac:dyDescent="0.15">
      <c r="B444" s="226"/>
      <c r="C444" s="209"/>
      <c r="D444" s="209"/>
      <c r="E444" s="209"/>
      <c r="F444" s="189"/>
      <c r="G444" s="189"/>
      <c r="H444" s="50" t="s">
        <v>98</v>
      </c>
      <c r="I444" s="50">
        <v>4</v>
      </c>
      <c r="J444" s="50">
        <v>22</v>
      </c>
      <c r="K444" s="49">
        <f>G443/3+MAX($D$3*J444,0.4*$D$3*J444+15*J444,MAX(柱工程量计算!$E$3:$F$72)-$E$3+15*J444)</f>
        <v>2900</v>
      </c>
      <c r="L444" s="50">
        <f t="shared" si="7"/>
        <v>34.640848000000005</v>
      </c>
      <c r="M444" s="189"/>
      <c r="N444" s="189"/>
      <c r="O444" s="189"/>
      <c r="P444" s="189"/>
      <c r="Q444" s="189"/>
    </row>
    <row r="445" spans="1:17" x14ac:dyDescent="0.15">
      <c r="B445" s="226"/>
      <c r="C445" s="209"/>
      <c r="D445" s="209"/>
      <c r="E445" s="209"/>
      <c r="F445" s="189"/>
      <c r="G445" s="189"/>
      <c r="H445" s="50" t="s">
        <v>99</v>
      </c>
      <c r="I445" s="50">
        <v>2</v>
      </c>
      <c r="J445" s="50">
        <v>22</v>
      </c>
      <c r="K445" s="49">
        <f>G443/4+MAX($D$3*J445,0.4*$D$3*J445+15*J445,MAX(柱工程量计算!$E$3:$F$72)-$E$3+15*J445)</f>
        <v>2400</v>
      </c>
      <c r="L445" s="50">
        <f t="shared" si="7"/>
        <v>14.334144000000002</v>
      </c>
      <c r="M445" s="189"/>
      <c r="N445" s="189"/>
      <c r="O445" s="189"/>
      <c r="P445" s="189"/>
      <c r="Q445" s="189"/>
    </row>
    <row r="446" spans="1:17" s="46" customFormat="1" x14ac:dyDescent="0.15">
      <c r="A446" s="195"/>
      <c r="B446" s="226"/>
      <c r="C446" s="209"/>
      <c r="D446" s="209"/>
      <c r="E446" s="209"/>
      <c r="F446" s="189"/>
      <c r="G446" s="189"/>
      <c r="H446" s="50" t="s">
        <v>121</v>
      </c>
      <c r="I446" s="50">
        <v>2</v>
      </c>
      <c r="J446" s="50">
        <v>22</v>
      </c>
      <c r="K446" s="49">
        <f>G443+2*IF((MAX(柱工程量计算!$E$3:$F$72)-$E$3)&gt;$D$3*J446,MAX($D$3*J446,0.5*MAX(柱工程量计算!$E$3:$F$72)+5*J446),MAX($D$3*J446,0.4*$D$3*J446+15*J446))</f>
        <v>7155</v>
      </c>
      <c r="L446" s="50">
        <f t="shared" si="7"/>
        <v>42.733666800000009</v>
      </c>
      <c r="M446" s="189"/>
      <c r="N446" s="189"/>
      <c r="O446" s="189"/>
      <c r="P446" s="189"/>
      <c r="Q446" s="189"/>
    </row>
    <row r="447" spans="1:17" x14ac:dyDescent="0.15">
      <c r="B447" s="226"/>
      <c r="C447" s="209"/>
      <c r="D447" s="209"/>
      <c r="E447" s="209"/>
      <c r="F447" s="189"/>
      <c r="G447" s="189"/>
      <c r="H447" s="50" t="s">
        <v>120</v>
      </c>
      <c r="I447" s="50">
        <v>1</v>
      </c>
      <c r="J447" s="50">
        <v>20</v>
      </c>
      <c r="K447" s="49">
        <f>G443+2*IF((MAX(柱工程量计算!$E$3:$F$72)-$E$3)&gt;$D$3*J447,MAX($D$3*J447,0.5*MAX(柱工程量计算!$E$3:$F$72)+5*J447),MAX($D$3*J447,0.4*$D$3*J447+15*J447))</f>
        <v>7050</v>
      </c>
      <c r="L447" s="50">
        <f t="shared" si="7"/>
        <v>17.3994</v>
      </c>
      <c r="M447" s="189"/>
      <c r="N447" s="189"/>
      <c r="O447" s="189"/>
      <c r="P447" s="189"/>
      <c r="Q447" s="189"/>
    </row>
    <row r="448" spans="1:17" x14ac:dyDescent="0.15">
      <c r="B448" s="226"/>
      <c r="C448" s="209"/>
      <c r="D448" s="209"/>
      <c r="E448" s="209"/>
      <c r="F448" s="189"/>
      <c r="G448" s="189"/>
      <c r="H448" s="50" t="s">
        <v>107</v>
      </c>
      <c r="I448" s="50">
        <f>((G443-50*2)/200*2+1)*$I$6/2</f>
        <v>120</v>
      </c>
      <c r="J448" s="50">
        <f>IF(E443&lt;=350,6,8)</f>
        <v>6</v>
      </c>
      <c r="K448" s="49">
        <f>E443-2*$E$3+2*1.9*J448+2*MAX(10*J448,75)+2*J448</f>
        <v>374.8</v>
      </c>
      <c r="L448" s="50">
        <f t="shared" si="7"/>
        <v>9.9900691199999976</v>
      </c>
      <c r="M448" s="189"/>
      <c r="N448" s="189"/>
      <c r="O448" s="189"/>
      <c r="P448" s="189"/>
      <c r="Q448" s="189"/>
    </row>
    <row r="449" spans="1:17" x14ac:dyDescent="0.15">
      <c r="B449" s="226"/>
      <c r="C449" s="209"/>
      <c r="D449" s="209"/>
      <c r="E449" s="209"/>
      <c r="F449" s="189"/>
      <c r="G449" s="189"/>
      <c r="H449" s="50" t="s">
        <v>108</v>
      </c>
      <c r="I449" s="50">
        <f>2*((IF($B$3="一级",MAX(2*F443,500),MAX(1.5*F443,500))-50)/100+1)+(G443-2*IF($B$3="一级",MAX(2*F443,500),MAX(1.5*F443,500)))/100-1</f>
        <v>60</v>
      </c>
      <c r="J449" s="50">
        <v>10</v>
      </c>
      <c r="K449" s="50">
        <f>(E443-2*$E$3+2*J449)*2+(F443-2*$E$3+2*J449)*2+2*1.9*J449+2*MAX(10*J449,75)</f>
        <v>1578</v>
      </c>
      <c r="L449" s="50">
        <f t="shared" si="7"/>
        <v>58.417559999999987</v>
      </c>
      <c r="M449" s="189"/>
      <c r="N449" s="189"/>
      <c r="O449" s="189"/>
      <c r="P449" s="189"/>
      <c r="Q449" s="189"/>
    </row>
    <row r="450" spans="1:17" x14ac:dyDescent="0.15">
      <c r="B450" s="226"/>
      <c r="C450" s="209"/>
      <c r="D450" s="209"/>
      <c r="E450" s="209"/>
      <c r="F450" s="189"/>
      <c r="G450" s="189"/>
      <c r="H450" s="50" t="s">
        <v>132</v>
      </c>
      <c r="I450" s="50">
        <v>6</v>
      </c>
      <c r="J450" s="50">
        <v>10</v>
      </c>
      <c r="K450" s="49">
        <f>(E443-2*$E$3+2*J450)*2+(F443-2*$E$3+2*J450)*2+2*1.9*J450+2*MAX(10*J450,75)</f>
        <v>1578</v>
      </c>
      <c r="L450" s="50">
        <f t="shared" si="7"/>
        <v>5.8417560000000002</v>
      </c>
      <c r="M450" s="189"/>
      <c r="N450" s="189"/>
      <c r="O450" s="189"/>
      <c r="P450" s="189"/>
      <c r="Q450" s="189"/>
    </row>
    <row r="451" spans="1:17" x14ac:dyDescent="0.15">
      <c r="B451" s="226"/>
      <c r="C451" s="209"/>
      <c r="D451" s="209">
        <v>1</v>
      </c>
      <c r="E451" s="209">
        <v>250</v>
      </c>
      <c r="F451" s="189">
        <v>500</v>
      </c>
      <c r="G451" s="189">
        <v>6000</v>
      </c>
      <c r="H451" s="50" t="s">
        <v>95</v>
      </c>
      <c r="I451" s="50">
        <v>4</v>
      </c>
      <c r="J451" s="50">
        <v>22</v>
      </c>
      <c r="K451" s="49">
        <f>G451/3+MAX($D$3*J451,0.4*$D$3*J451+15*J451,MAX(柱工程量计算!$E$3:$F$72)-$E$3+15*J451)</f>
        <v>2900</v>
      </c>
      <c r="L451" s="50">
        <f t="shared" si="7"/>
        <v>34.640848000000005</v>
      </c>
      <c r="M451" s="189">
        <f>(2*F451+E451)*G451/10^6</f>
        <v>7.5</v>
      </c>
      <c r="N451" s="189">
        <f>PRODUCT(E451:G459)/10^9</f>
        <v>0.75</v>
      </c>
      <c r="O451" s="189">
        <f>SUM(L451:L459)</f>
        <v>272.85374679799997</v>
      </c>
      <c r="P451" s="189"/>
      <c r="Q451" s="189">
        <v>1</v>
      </c>
    </row>
    <row r="452" spans="1:17" x14ac:dyDescent="0.15">
      <c r="B452" s="226"/>
      <c r="C452" s="209"/>
      <c r="D452" s="209"/>
      <c r="E452" s="209"/>
      <c r="F452" s="189"/>
      <c r="G452" s="189"/>
      <c r="H452" s="50" t="s">
        <v>97</v>
      </c>
      <c r="I452" s="50">
        <v>2</v>
      </c>
      <c r="J452" s="50">
        <v>22</v>
      </c>
      <c r="K452" s="49">
        <f>G451/4+MAX($D$3*J452,0.4*$D$3*J452+15*J452,MAX(柱工程量计算!$E$3:$F$72)-$E$3+15*J452)</f>
        <v>2400</v>
      </c>
      <c r="L452" s="50">
        <f t="shared" si="7"/>
        <v>14.334144000000002</v>
      </c>
      <c r="M452" s="189"/>
      <c r="N452" s="189"/>
      <c r="O452" s="189"/>
      <c r="P452" s="189"/>
      <c r="Q452" s="189"/>
    </row>
    <row r="453" spans="1:17" x14ac:dyDescent="0.15">
      <c r="B453" s="226"/>
      <c r="C453" s="209"/>
      <c r="D453" s="209"/>
      <c r="E453" s="209"/>
      <c r="F453" s="189"/>
      <c r="G453" s="189"/>
      <c r="H453" s="50" t="s">
        <v>98</v>
      </c>
      <c r="I453" s="50">
        <v>4</v>
      </c>
      <c r="J453" s="50">
        <v>22</v>
      </c>
      <c r="K453" s="49">
        <f>G451/3+MAX($D$3*J453,0.4*$D$3*J453+15*J453,MAX(柱工程量计算!$E$3:$F$72)-$E$3+15*J453)</f>
        <v>2900</v>
      </c>
      <c r="L453" s="50">
        <f t="shared" si="7"/>
        <v>34.640848000000005</v>
      </c>
      <c r="M453" s="189"/>
      <c r="N453" s="189"/>
      <c r="O453" s="189"/>
      <c r="P453" s="189"/>
      <c r="Q453" s="189"/>
    </row>
    <row r="454" spans="1:17" x14ac:dyDescent="0.15">
      <c r="B454" s="226"/>
      <c r="C454" s="209"/>
      <c r="D454" s="209"/>
      <c r="E454" s="209"/>
      <c r="F454" s="189"/>
      <c r="G454" s="189"/>
      <c r="H454" s="50" t="s">
        <v>99</v>
      </c>
      <c r="I454" s="50">
        <v>2</v>
      </c>
      <c r="J454" s="50">
        <v>20</v>
      </c>
      <c r="K454" s="49">
        <f>G451/4+MAX($D$3*J454,0.4*$D$3*J454+15*J454,MAX(柱工程量计算!$E$3:$F$72)-$E$3+15*J454)</f>
        <v>2370</v>
      </c>
      <c r="L454" s="50">
        <f t="shared" si="7"/>
        <v>11.698319999999999</v>
      </c>
      <c r="M454" s="189"/>
      <c r="N454" s="189"/>
      <c r="O454" s="189"/>
      <c r="P454" s="189"/>
      <c r="Q454" s="189"/>
    </row>
    <row r="455" spans="1:17" s="46" customFormat="1" x14ac:dyDescent="0.15">
      <c r="A455" s="195"/>
      <c r="B455" s="226"/>
      <c r="C455" s="209"/>
      <c r="D455" s="209"/>
      <c r="E455" s="209"/>
      <c r="F455" s="189"/>
      <c r="G455" s="189"/>
      <c r="H455" s="50" t="s">
        <v>147</v>
      </c>
      <c r="I455" s="50">
        <v>2</v>
      </c>
      <c r="J455" s="50">
        <v>25</v>
      </c>
      <c r="K455" s="49">
        <f>G450+2*IF((MAX(柱工程量计算!$E$3:$F$72)-$E$3)&gt;$D$3*J455,MAX($D$3*J455,0.5*MAX(柱工程量计算!$E$3:$F$72)+5*J455),MAX($D$3*J455,0.4*$D$3*J455+15*J455))</f>
        <v>1312.5</v>
      </c>
      <c r="L455" s="50">
        <f t="shared" si="7"/>
        <v>10.12265625</v>
      </c>
      <c r="M455" s="189"/>
      <c r="N455" s="189"/>
      <c r="O455" s="189"/>
      <c r="P455" s="189"/>
      <c r="Q455" s="189"/>
    </row>
    <row r="456" spans="1:17" x14ac:dyDescent="0.15">
      <c r="B456" s="226"/>
      <c r="C456" s="209"/>
      <c r="D456" s="209"/>
      <c r="E456" s="209"/>
      <c r="F456" s="189"/>
      <c r="G456" s="189"/>
      <c r="H456" s="50" t="s">
        <v>148</v>
      </c>
      <c r="I456" s="50">
        <v>4</v>
      </c>
      <c r="J456" s="50">
        <v>25</v>
      </c>
      <c r="K456" s="49">
        <f>G451+2*IF((MAX(柱工程量计算!$E$3:$F$72)-$E$3)&gt;$D$3*J456,MAX($D$3*J456,0.5*MAX(柱工程量计算!$E$3:$F$72)+5*J456),MAX($D$3*J456,0.4*$D$3*J456+15*J456))</f>
        <v>7312.5</v>
      </c>
      <c r="L456" s="50">
        <f t="shared" si="7"/>
        <v>112.79531249999999</v>
      </c>
      <c r="M456" s="189"/>
      <c r="N456" s="189"/>
      <c r="O456" s="189"/>
      <c r="P456" s="189"/>
      <c r="Q456" s="189"/>
    </row>
    <row r="457" spans="1:17" x14ac:dyDescent="0.15">
      <c r="B457" s="226"/>
      <c r="C457" s="209"/>
      <c r="D457" s="209"/>
      <c r="E457" s="209"/>
      <c r="F457" s="189"/>
      <c r="G457" s="189"/>
      <c r="H457" s="50" t="s">
        <v>107</v>
      </c>
      <c r="I457" s="50">
        <f>((G451-50*2)/200*2+1)*$I$6/2</f>
        <v>120</v>
      </c>
      <c r="J457" s="50">
        <f>IF(E451&lt;=350,6,8)</f>
        <v>6</v>
      </c>
      <c r="K457" s="49">
        <f>E451-2*$E$3+2*1.9*J457+2*MAX(10*J457,75)+2*J457</f>
        <v>374.8</v>
      </c>
      <c r="L457" s="50">
        <f t="shared" si="7"/>
        <v>9.9900691199999976</v>
      </c>
      <c r="M457" s="189"/>
      <c r="N457" s="189"/>
      <c r="O457" s="189"/>
      <c r="P457" s="189"/>
      <c r="Q457" s="189"/>
    </row>
    <row r="458" spans="1:17" x14ac:dyDescent="0.15">
      <c r="B458" s="226"/>
      <c r="C458" s="209"/>
      <c r="D458" s="209"/>
      <c r="E458" s="209"/>
      <c r="F458" s="189"/>
      <c r="G458" s="189"/>
      <c r="H458" s="50" t="s">
        <v>108</v>
      </c>
      <c r="I458" s="50">
        <f>2*((IF($B$3="一级",MAX(2*F451,500),MAX(1.5*F451,500))-50)/100+1)+(G451-2*IF($B$3="一级",MAX(2*F451,500),MAX(1.5*F451,500)))/100-1</f>
        <v>60</v>
      </c>
      <c r="J458" s="50">
        <v>8</v>
      </c>
      <c r="K458" s="50">
        <f>(E451-2*$E$3+2*J458)*2+(F451-2*$E$3+2*J458)*2+2*1.9*J458+2*MAX(10*J458,75)</f>
        <v>1514.4</v>
      </c>
      <c r="L458" s="50">
        <f t="shared" si="7"/>
        <v>35.880376320000003</v>
      </c>
      <c r="M458" s="189"/>
      <c r="N458" s="189"/>
      <c r="O458" s="189"/>
      <c r="P458" s="189"/>
      <c r="Q458" s="189"/>
    </row>
    <row r="459" spans="1:17" x14ac:dyDescent="0.15">
      <c r="B459" s="226"/>
      <c r="C459" s="209"/>
      <c r="D459" s="209"/>
      <c r="E459" s="209"/>
      <c r="F459" s="189"/>
      <c r="G459" s="189"/>
      <c r="H459" s="50" t="s">
        <v>132</v>
      </c>
      <c r="I459" s="50">
        <v>6</v>
      </c>
      <c r="J459" s="50">
        <v>12</v>
      </c>
      <c r="K459" s="49">
        <f>(E451-2*$E$3+2*J459)*2+(F451-2*$E$3+2*J459)*2+2*1.9*J459+2*MAX(10*J459,75)</f>
        <v>1641.6</v>
      </c>
      <c r="L459" s="50">
        <f t="shared" si="7"/>
        <v>8.751172608000001</v>
      </c>
      <c r="M459" s="189"/>
      <c r="N459" s="189"/>
      <c r="O459" s="189"/>
      <c r="P459" s="189"/>
      <c r="Q459" s="189"/>
    </row>
    <row r="460" spans="1:17" x14ac:dyDescent="0.15">
      <c r="B460" s="226"/>
      <c r="C460" s="220" t="s">
        <v>133</v>
      </c>
      <c r="D460" s="218" t="s">
        <v>106</v>
      </c>
      <c r="E460" s="219"/>
      <c r="F460" s="218">
        <v>42600</v>
      </c>
      <c r="G460" s="219"/>
      <c r="H460" s="50" t="s">
        <v>103</v>
      </c>
      <c r="I460" s="50">
        <v>2</v>
      </c>
      <c r="J460" s="50">
        <v>22</v>
      </c>
      <c r="K460" s="49">
        <f>F460+2*IF((MAX(柱工程量计算!$E$3:$F$72)-$E$3)&gt;$D$3*J460,MAX($D$3*J460,0.5*MAX(柱工程量计算!$E$3:$F$72)+5*J460,MAX($D$3*J460,0.4*$D$3*J460+15*J460)))</f>
        <v>42600</v>
      </c>
      <c r="L460" s="50">
        <f t="shared" si="7"/>
        <v>254.43105600000001</v>
      </c>
      <c r="M460" s="189">
        <f>(2*F462+E462)*G462/10^6</f>
        <v>7.5</v>
      </c>
      <c r="N460" s="189">
        <f>PRODUCT(E462:G469)/10^9</f>
        <v>0.75</v>
      </c>
      <c r="O460" s="189">
        <f>SUM(L460:L469)</f>
        <v>575.78996904200005</v>
      </c>
      <c r="P460" s="189">
        <v>1</v>
      </c>
      <c r="Q460" s="189"/>
    </row>
    <row r="461" spans="1:17" x14ac:dyDescent="0.15">
      <c r="B461" s="226"/>
      <c r="C461" s="221"/>
      <c r="D461" s="223"/>
      <c r="E461" s="224"/>
      <c r="F461" s="223"/>
      <c r="G461" s="224"/>
      <c r="H461" s="50" t="s">
        <v>100</v>
      </c>
      <c r="I461" s="50">
        <v>4</v>
      </c>
      <c r="J461" s="50">
        <v>12</v>
      </c>
      <c r="K461" s="49">
        <f>IF(F462&gt;=450,F460+2*IF((MAX(柱工程量计算!$E$3:$F$72)-$E$3)&gt;$D$3*J461,MAX($D$3*J461,0.5*MAX(柱工程量计算!$E$3:$F$72)+5*J461),MAX($D$3*J461,0.4*$D$3*J461+15*J461)),F460+15*J461)</f>
        <v>43320</v>
      </c>
      <c r="L461" s="50">
        <f t="shared" si="7"/>
        <v>153.95581440000001</v>
      </c>
      <c r="M461" s="189"/>
      <c r="N461" s="189"/>
      <c r="O461" s="189"/>
      <c r="P461" s="189"/>
      <c r="Q461" s="189"/>
    </row>
    <row r="462" spans="1:17" x14ac:dyDescent="0.15">
      <c r="B462" s="226"/>
      <c r="C462" s="221"/>
      <c r="D462" s="209">
        <v>1</v>
      </c>
      <c r="E462" s="209">
        <v>250</v>
      </c>
      <c r="F462" s="189">
        <v>500</v>
      </c>
      <c r="G462" s="189">
        <v>6000</v>
      </c>
      <c r="H462" s="50" t="s">
        <v>95</v>
      </c>
      <c r="I462" s="50">
        <v>2</v>
      </c>
      <c r="J462" s="50">
        <v>22</v>
      </c>
      <c r="K462" s="49">
        <f>G462/3+MAX($D$3*J462,0.4*$D$3*J462+15*J462,MAX(柱工程量计算!$E$3:$F$72)-$E$3+15*J462)</f>
        <v>2900</v>
      </c>
      <c r="L462" s="50">
        <f t="shared" ref="L462:L525" si="8">I462*(J462/10)^2*0.617*K462/1000</f>
        <v>17.320424000000003</v>
      </c>
      <c r="M462" s="189"/>
      <c r="N462" s="189"/>
      <c r="O462" s="189"/>
      <c r="P462" s="189"/>
      <c r="Q462" s="189"/>
    </row>
    <row r="463" spans="1:17" x14ac:dyDescent="0.15">
      <c r="B463" s="226"/>
      <c r="C463" s="221"/>
      <c r="D463" s="209"/>
      <c r="E463" s="209"/>
      <c r="F463" s="189"/>
      <c r="G463" s="189"/>
      <c r="H463" s="50" t="s">
        <v>97</v>
      </c>
      <c r="I463" s="50">
        <v>1</v>
      </c>
      <c r="J463" s="50">
        <v>20</v>
      </c>
      <c r="K463" s="49">
        <f>G462/4+MAX($D$3*J463,0.4*$D$3*J463+15*J463,MAX(柱工程量计算!$E$3:$F$72)-$E$3+15*J463)</f>
        <v>2370</v>
      </c>
      <c r="L463" s="50">
        <f t="shared" si="8"/>
        <v>5.8491599999999995</v>
      </c>
      <c r="M463" s="189"/>
      <c r="N463" s="189"/>
      <c r="O463" s="189"/>
      <c r="P463" s="189"/>
      <c r="Q463" s="189"/>
    </row>
    <row r="464" spans="1:17" x14ac:dyDescent="0.15">
      <c r="B464" s="226"/>
      <c r="C464" s="221"/>
      <c r="D464" s="209"/>
      <c r="E464" s="209"/>
      <c r="F464" s="189"/>
      <c r="G464" s="189"/>
      <c r="H464" s="50" t="s">
        <v>98</v>
      </c>
      <c r="I464" s="50">
        <v>3</v>
      </c>
      <c r="J464" s="50">
        <v>22</v>
      </c>
      <c r="K464" s="49">
        <f>G462/3+MAX($D$3*J464,0.4*$D$3*J464+15*J464,MAX(柱工程量计算!$E$3:$F$72)-$E$3+15*J464)</f>
        <v>2900</v>
      </c>
      <c r="L464" s="50">
        <f t="shared" si="8"/>
        <v>25.980636000000008</v>
      </c>
      <c r="M464" s="189"/>
      <c r="N464" s="189"/>
      <c r="O464" s="189"/>
      <c r="P464" s="189"/>
      <c r="Q464" s="189"/>
    </row>
    <row r="465" spans="1:17" s="46" customFormat="1" x14ac:dyDescent="0.15">
      <c r="A465" s="195"/>
      <c r="B465" s="226"/>
      <c r="C465" s="221"/>
      <c r="D465" s="209"/>
      <c r="E465" s="209"/>
      <c r="F465" s="189"/>
      <c r="G465" s="189"/>
      <c r="H465" s="50" t="s">
        <v>121</v>
      </c>
      <c r="I465" s="50">
        <v>2</v>
      </c>
      <c r="J465" s="50">
        <v>25</v>
      </c>
      <c r="K465" s="49">
        <f>G462+2*IF((MAX(柱工程量计算!$E$3:$F$72)-$E$3)&gt;$D$3*J465,MAX($D$3*J465,0.5*MAX(柱工程量计算!$E$3:$F$72)+5*J465),MAX($D$3*J465,0.4*$D$3*J465+15*J465))</f>
        <v>7312.5</v>
      </c>
      <c r="L465" s="50">
        <f t="shared" si="8"/>
        <v>56.397656249999997</v>
      </c>
      <c r="M465" s="189"/>
      <c r="N465" s="189"/>
      <c r="O465" s="189"/>
      <c r="P465" s="189"/>
      <c r="Q465" s="189"/>
    </row>
    <row r="466" spans="1:17" x14ac:dyDescent="0.15">
      <c r="B466" s="226"/>
      <c r="C466" s="221"/>
      <c r="D466" s="209"/>
      <c r="E466" s="209"/>
      <c r="F466" s="189"/>
      <c r="G466" s="189"/>
      <c r="H466" s="50" t="s">
        <v>120</v>
      </c>
      <c r="I466" s="50">
        <v>1</v>
      </c>
      <c r="J466" s="50">
        <v>22</v>
      </c>
      <c r="K466" s="49">
        <f>G462+2*IF((MAX(柱工程量计算!$E$3:$F$72)-$E$3)&gt;$D$3*J466,MAX($D$3*J466,0.5*MAX(柱工程量计算!$E$3:$F$72)+5*J466),MAX($D$3*J466,0.4*$D$3*J466+15*J466))</f>
        <v>7155</v>
      </c>
      <c r="L466" s="50">
        <f t="shared" si="8"/>
        <v>21.366833400000004</v>
      </c>
      <c r="M466" s="189"/>
      <c r="N466" s="189"/>
      <c r="O466" s="189"/>
      <c r="P466" s="189"/>
      <c r="Q466" s="189"/>
    </row>
    <row r="467" spans="1:17" x14ac:dyDescent="0.15">
      <c r="B467" s="226"/>
      <c r="C467" s="221"/>
      <c r="D467" s="209"/>
      <c r="E467" s="209"/>
      <c r="F467" s="189"/>
      <c r="G467" s="189"/>
      <c r="H467" s="50" t="s">
        <v>107</v>
      </c>
      <c r="I467" s="50">
        <f>((G462-50*2)/200*2+1)*$I$6/2</f>
        <v>120</v>
      </c>
      <c r="J467" s="50">
        <f>IF(E462&lt;=350,6,8)</f>
        <v>6</v>
      </c>
      <c r="K467" s="49">
        <f>E462-2*$E$3+2*1.9*J467+2*MAX(10*J467,75)+2*J467</f>
        <v>374.8</v>
      </c>
      <c r="L467" s="50">
        <f t="shared" si="8"/>
        <v>9.9900691199999976</v>
      </c>
      <c r="M467" s="189"/>
      <c r="N467" s="189"/>
      <c r="O467" s="189"/>
      <c r="P467" s="189"/>
      <c r="Q467" s="189"/>
    </row>
    <row r="468" spans="1:17" x14ac:dyDescent="0.15">
      <c r="B468" s="226"/>
      <c r="C468" s="221"/>
      <c r="D468" s="209"/>
      <c r="E468" s="209"/>
      <c r="F468" s="189"/>
      <c r="G468" s="189"/>
      <c r="H468" s="50" t="s">
        <v>108</v>
      </c>
      <c r="I468" s="50">
        <f>2*((IF($B$3="一级",MAX(2*F462,500),MAX(1.5*F462,500))-50)/100+1)+(G462-2*IF($B$3="一级",MAX(2*F462,500),MAX(1.5*F462,500)))/150-1</f>
        <v>45</v>
      </c>
      <c r="J468" s="50">
        <v>8</v>
      </c>
      <c r="K468" s="50">
        <f>(E462-2*$E$3+2*J468)*2+(F462-2*$E$3+2*J468)*2+2*1.9*J468+2*MAX(10*J468,75)</f>
        <v>1514.4</v>
      </c>
      <c r="L468" s="50">
        <f t="shared" si="8"/>
        <v>26.910282240000008</v>
      </c>
      <c r="M468" s="189"/>
      <c r="N468" s="189"/>
      <c r="O468" s="189"/>
      <c r="P468" s="189"/>
      <c r="Q468" s="189"/>
    </row>
    <row r="469" spans="1:17" x14ac:dyDescent="0.15">
      <c r="B469" s="226"/>
      <c r="C469" s="221"/>
      <c r="D469" s="209"/>
      <c r="E469" s="209"/>
      <c r="F469" s="189"/>
      <c r="G469" s="189"/>
      <c r="H469" s="50" t="s">
        <v>132</v>
      </c>
      <c r="I469" s="50">
        <v>6</v>
      </c>
      <c r="J469" s="50">
        <v>8</v>
      </c>
      <c r="K469" s="49">
        <f>(E462-2*$E$3+2*J469)*2+(F462-2*$E$3+2*J469)*2+2*1.9*J469+2*MAX(10*J469,75)</f>
        <v>1514.4</v>
      </c>
      <c r="L469" s="50">
        <f t="shared" si="8"/>
        <v>3.5880376320000007</v>
      </c>
      <c r="M469" s="189"/>
      <c r="N469" s="189"/>
      <c r="O469" s="189"/>
      <c r="P469" s="189"/>
      <c r="Q469" s="189"/>
    </row>
    <row r="470" spans="1:17" x14ac:dyDescent="0.15">
      <c r="B470" s="226"/>
      <c r="C470" s="221"/>
      <c r="D470" s="209">
        <v>2</v>
      </c>
      <c r="E470" s="209">
        <v>250</v>
      </c>
      <c r="F470" s="189">
        <v>500</v>
      </c>
      <c r="G470" s="189">
        <v>6000</v>
      </c>
      <c r="H470" s="50" t="s">
        <v>95</v>
      </c>
      <c r="I470" s="50">
        <v>3</v>
      </c>
      <c r="J470" s="50">
        <v>22</v>
      </c>
      <c r="K470" s="49">
        <f>G470/3+MAX($D$3*J470,0.4*$D$3*J470+15*J470,MAX(柱工程量计算!$E$3:$F$72)-$E$3+15*J470)</f>
        <v>2900</v>
      </c>
      <c r="L470" s="50">
        <f t="shared" si="8"/>
        <v>25.980636000000008</v>
      </c>
      <c r="M470" s="189">
        <f>(2*F470+E470)*G470/10^6</f>
        <v>7.5</v>
      </c>
      <c r="N470" s="189">
        <f>PRODUCT(E470:G476)/10^9</f>
        <v>0.75</v>
      </c>
      <c r="O470" s="189">
        <f>SUM(L470:L476)</f>
        <v>171.91856995200004</v>
      </c>
      <c r="P470" s="189">
        <v>2</v>
      </c>
      <c r="Q470" s="189"/>
    </row>
    <row r="471" spans="1:17" x14ac:dyDescent="0.15">
      <c r="B471" s="226"/>
      <c r="C471" s="221"/>
      <c r="D471" s="209"/>
      <c r="E471" s="209"/>
      <c r="F471" s="189"/>
      <c r="G471" s="189"/>
      <c r="H471" s="50" t="s">
        <v>98</v>
      </c>
      <c r="I471" s="50">
        <v>3</v>
      </c>
      <c r="J471" s="50">
        <v>22</v>
      </c>
      <c r="K471" s="49">
        <f>G470/3+MAX($D$3*J471,0.4*$D$3*J471+15*J471,MAX(柱工程量计算!$E$3:$F$72)-$E$3+15*J471)</f>
        <v>2900</v>
      </c>
      <c r="L471" s="50">
        <f t="shared" si="8"/>
        <v>25.980636000000008</v>
      </c>
      <c r="M471" s="189"/>
      <c r="N471" s="189"/>
      <c r="O471" s="189"/>
      <c r="P471" s="189"/>
      <c r="Q471" s="189"/>
    </row>
    <row r="472" spans="1:17" x14ac:dyDescent="0.15">
      <c r="B472" s="226"/>
      <c r="C472" s="221"/>
      <c r="D472" s="209"/>
      <c r="E472" s="209"/>
      <c r="F472" s="189"/>
      <c r="G472" s="189"/>
      <c r="H472" s="50" t="s">
        <v>121</v>
      </c>
      <c r="I472" s="50">
        <v>2</v>
      </c>
      <c r="J472" s="50">
        <v>20</v>
      </c>
      <c r="K472" s="49">
        <f>G470+2*IF((MAX(柱工程量计算!$E$3:$F$72)-$E$3)&gt;$D$3*J472,MAX($D$3*J472,0.5*MAX(柱工程量计算!$E$3:$F$72)+5*J472),MAX($D$3*J472,0.4*$D$3*J472+15*J472))</f>
        <v>7050</v>
      </c>
      <c r="L472" s="50">
        <f t="shared" si="8"/>
        <v>34.7988</v>
      </c>
      <c r="M472" s="189"/>
      <c r="N472" s="189"/>
      <c r="O472" s="189"/>
      <c r="P472" s="189"/>
      <c r="Q472" s="189"/>
    </row>
    <row r="473" spans="1:17" x14ac:dyDescent="0.15">
      <c r="B473" s="226"/>
      <c r="C473" s="221"/>
      <c r="D473" s="209"/>
      <c r="E473" s="209"/>
      <c r="F473" s="189"/>
      <c r="G473" s="189"/>
      <c r="H473" s="50" t="s">
        <v>120</v>
      </c>
      <c r="I473" s="50">
        <v>2</v>
      </c>
      <c r="J473" s="50">
        <v>18</v>
      </c>
      <c r="K473" s="49">
        <f>G470+2*IF((MAX(柱工程量计算!$E$3:$F$72)-$E$3)&gt;$D$3*J473,MAX($D$3*J473,0.5*MAX(柱工程量计算!$E$3:$F$72)+5*J473),MAX($D$3*J473,0.4*$D$3*J473+15*J473))</f>
        <v>6945</v>
      </c>
      <c r="L473" s="50">
        <f t="shared" si="8"/>
        <v>27.767221200000005</v>
      </c>
      <c r="M473" s="189"/>
      <c r="N473" s="189"/>
      <c r="O473" s="189"/>
      <c r="P473" s="189"/>
      <c r="Q473" s="189"/>
    </row>
    <row r="474" spans="1:17" x14ac:dyDescent="0.15">
      <c r="B474" s="226"/>
      <c r="C474" s="221"/>
      <c r="D474" s="209"/>
      <c r="E474" s="209"/>
      <c r="F474" s="189"/>
      <c r="G474" s="189"/>
      <c r="H474" s="50" t="s">
        <v>107</v>
      </c>
      <c r="I474" s="50">
        <f>((G470-50*2)/200*2+1)*$I$6/2</f>
        <v>120</v>
      </c>
      <c r="J474" s="50">
        <f>IF(E470&lt;=350,6,8)</f>
        <v>6</v>
      </c>
      <c r="K474" s="49">
        <f>E470-2*$E$3+2*1.9*J474+2*MAX(10*J474,75)+2*J474</f>
        <v>374.8</v>
      </c>
      <c r="L474" s="50">
        <f t="shared" si="8"/>
        <v>9.9900691199999976</v>
      </c>
      <c r="M474" s="189"/>
      <c r="N474" s="189"/>
      <c r="O474" s="189"/>
      <c r="P474" s="189"/>
      <c r="Q474" s="189"/>
    </row>
    <row r="475" spans="1:17" x14ac:dyDescent="0.15">
      <c r="B475" s="226"/>
      <c r="C475" s="221"/>
      <c r="D475" s="209"/>
      <c r="E475" s="209"/>
      <c r="F475" s="189"/>
      <c r="G475" s="189"/>
      <c r="H475" s="50" t="s">
        <v>108</v>
      </c>
      <c r="I475" s="50">
        <f>2*((IF($B$3="一级",MAX(2*F470,500),MAX(1.5*F470,500))-50)/100+1)+(G470-2*IF($B$3="一级",MAX(2*F470,500),MAX(1.5*F470,500)))/150-1</f>
        <v>45</v>
      </c>
      <c r="J475" s="50">
        <v>10</v>
      </c>
      <c r="K475" s="50">
        <f>(E470-2*$E$3+2*J475)*2+(F470-2*$E$3+2*J475)*2+2*1.9*J475+2*MAX(10*J475,75)</f>
        <v>1578</v>
      </c>
      <c r="L475" s="50">
        <f t="shared" si="8"/>
        <v>43.81317</v>
      </c>
      <c r="M475" s="189"/>
      <c r="N475" s="189"/>
      <c r="O475" s="189"/>
      <c r="P475" s="189"/>
      <c r="Q475" s="189"/>
    </row>
    <row r="476" spans="1:17" x14ac:dyDescent="0.15">
      <c r="B476" s="226"/>
      <c r="C476" s="221"/>
      <c r="D476" s="209"/>
      <c r="E476" s="209"/>
      <c r="F476" s="189"/>
      <c r="G476" s="189"/>
      <c r="H476" s="50" t="s">
        <v>132</v>
      </c>
      <c r="I476" s="50">
        <v>6</v>
      </c>
      <c r="J476" s="50">
        <v>8</v>
      </c>
      <c r="K476" s="49">
        <f>(E470-2*$E$3+2*J476)*2+(F470-2*$E$3+2*J476)*2+2*1.9*J476+2*MAX(10*J476,75)</f>
        <v>1514.4</v>
      </c>
      <c r="L476" s="50">
        <f t="shared" si="8"/>
        <v>3.5880376320000007</v>
      </c>
      <c r="M476" s="189"/>
      <c r="N476" s="189"/>
      <c r="O476" s="189"/>
      <c r="P476" s="189"/>
      <c r="Q476" s="189"/>
    </row>
    <row r="477" spans="1:17" x14ac:dyDescent="0.15">
      <c r="B477" s="226"/>
      <c r="C477" s="221"/>
      <c r="D477" s="209">
        <v>1</v>
      </c>
      <c r="E477" s="209">
        <v>250</v>
      </c>
      <c r="F477" s="189">
        <v>500</v>
      </c>
      <c r="G477" s="189">
        <v>6000</v>
      </c>
      <c r="H477" s="50" t="s">
        <v>95</v>
      </c>
      <c r="I477" s="50">
        <v>3</v>
      </c>
      <c r="J477" s="50">
        <v>22</v>
      </c>
      <c r="K477" s="49">
        <f>G477/3+MAX($D$3*J477,0.4*$D$3*J477+15*J477,MAX(柱工程量计算!$E$3:$F$72)-$E$3+15*J477)</f>
        <v>2900</v>
      </c>
      <c r="L477" s="50">
        <f t="shared" si="8"/>
        <v>25.980636000000008</v>
      </c>
      <c r="M477" s="189">
        <f>(2*F477+E477)*G477/10^6</f>
        <v>7.5</v>
      </c>
      <c r="N477" s="189">
        <f>PRODUCT(E477:G484)/10^9</f>
        <v>0.75</v>
      </c>
      <c r="O477" s="189">
        <f>SUM(L477:L484)</f>
        <v>169.10751795200002</v>
      </c>
      <c r="P477" s="189"/>
      <c r="Q477" s="189">
        <v>1</v>
      </c>
    </row>
    <row r="478" spans="1:17" x14ac:dyDescent="0.15">
      <c r="B478" s="226"/>
      <c r="C478" s="221"/>
      <c r="D478" s="209"/>
      <c r="E478" s="209"/>
      <c r="F478" s="189"/>
      <c r="G478" s="189"/>
      <c r="H478" s="50" t="s">
        <v>98</v>
      </c>
      <c r="I478" s="50">
        <v>2</v>
      </c>
      <c r="J478" s="50">
        <v>22</v>
      </c>
      <c r="K478" s="49">
        <f>G477/3+MAX($D$3*J478,0.4*$D$3*J478+15*J478,MAX(柱工程量计算!$E$3:$F$72)-$E$3+15*J478)</f>
        <v>2900</v>
      </c>
      <c r="L478" s="50">
        <f t="shared" si="8"/>
        <v>17.320424000000003</v>
      </c>
      <c r="M478" s="189"/>
      <c r="N478" s="189"/>
      <c r="O478" s="189"/>
      <c r="P478" s="189"/>
      <c r="Q478" s="189"/>
    </row>
    <row r="479" spans="1:17" x14ac:dyDescent="0.15">
      <c r="B479" s="226"/>
      <c r="C479" s="221"/>
      <c r="D479" s="209"/>
      <c r="E479" s="209"/>
      <c r="F479" s="189"/>
      <c r="G479" s="189"/>
      <c r="H479" s="50" t="s">
        <v>99</v>
      </c>
      <c r="I479" s="50">
        <v>1</v>
      </c>
      <c r="J479" s="50">
        <v>20</v>
      </c>
      <c r="K479" s="49">
        <f>G477/4+MAX($D$3*J479,0.4*$D$3*J479+15*J479,MAX(柱工程量计算!$E$3:$F$72)-$E$3+15*J479)</f>
        <v>2370</v>
      </c>
      <c r="L479" s="50">
        <f t="shared" si="8"/>
        <v>5.8491599999999995</v>
      </c>
      <c r="M479" s="189"/>
      <c r="N479" s="189"/>
      <c r="O479" s="189"/>
      <c r="P479" s="189"/>
      <c r="Q479" s="189"/>
    </row>
    <row r="480" spans="1:17" x14ac:dyDescent="0.15">
      <c r="B480" s="226"/>
      <c r="C480" s="221"/>
      <c r="D480" s="209"/>
      <c r="E480" s="209"/>
      <c r="F480" s="189"/>
      <c r="G480" s="189"/>
      <c r="H480" s="50" t="s">
        <v>121</v>
      </c>
      <c r="I480" s="50">
        <v>2</v>
      </c>
      <c r="J480" s="50">
        <v>20</v>
      </c>
      <c r="K480" s="49">
        <f>G477+2*IF((MAX(柱工程量计算!$E$3:$F$72)-$E$3)&gt;$D$3*J480,MAX($D$3*J480,0.5*MAX(柱工程量计算!$E$3:$F$72)+5*J480),MAX($D$3*J480,0.4*$D$3*J480+15*J480))</f>
        <v>7050</v>
      </c>
      <c r="L480" s="50">
        <f t="shared" si="8"/>
        <v>34.7988</v>
      </c>
      <c r="M480" s="189"/>
      <c r="N480" s="189"/>
      <c r="O480" s="189"/>
      <c r="P480" s="189"/>
      <c r="Q480" s="189"/>
    </row>
    <row r="481" spans="1:17" x14ac:dyDescent="0.15">
      <c r="B481" s="226"/>
      <c r="C481" s="221"/>
      <c r="D481" s="209"/>
      <c r="E481" s="209"/>
      <c r="F481" s="189"/>
      <c r="G481" s="189"/>
      <c r="H481" s="50" t="s">
        <v>120</v>
      </c>
      <c r="I481" s="50">
        <v>2</v>
      </c>
      <c r="J481" s="50">
        <v>18</v>
      </c>
      <c r="K481" s="49">
        <f>G477+2*IF((MAX(柱工程量计算!$E$3:$F$72)-$E$3)&gt;$D$3*J481,MAX($D$3*J481,0.5*MAX(柱工程量计算!$E$3:$F$72)+5*J481),MAX($D$3*J481,0.4*$D$3*J481+15*J481))</f>
        <v>6945</v>
      </c>
      <c r="L481" s="50">
        <f t="shared" si="8"/>
        <v>27.767221200000005</v>
      </c>
      <c r="M481" s="189"/>
      <c r="N481" s="189"/>
      <c r="O481" s="189"/>
      <c r="P481" s="189"/>
      <c r="Q481" s="189"/>
    </row>
    <row r="482" spans="1:17" x14ac:dyDescent="0.15">
      <c r="B482" s="226"/>
      <c r="C482" s="221"/>
      <c r="D482" s="209"/>
      <c r="E482" s="209"/>
      <c r="F482" s="189"/>
      <c r="G482" s="189"/>
      <c r="H482" s="50" t="s">
        <v>107</v>
      </c>
      <c r="I482" s="50">
        <f>((G477-50*2)/200*2+1)*$I$6/2</f>
        <v>120</v>
      </c>
      <c r="J482" s="50">
        <f>IF(E477&lt;=350,6,8)</f>
        <v>6</v>
      </c>
      <c r="K482" s="49">
        <f>E477-2*$E$3+2*1.9*J482+2*MAX(10*J482,75)+2*J482</f>
        <v>374.8</v>
      </c>
      <c r="L482" s="50">
        <f t="shared" si="8"/>
        <v>9.9900691199999976</v>
      </c>
      <c r="M482" s="189"/>
      <c r="N482" s="189"/>
      <c r="O482" s="189"/>
      <c r="P482" s="189"/>
      <c r="Q482" s="189"/>
    </row>
    <row r="483" spans="1:17" x14ac:dyDescent="0.15">
      <c r="B483" s="226"/>
      <c r="C483" s="221"/>
      <c r="D483" s="209"/>
      <c r="E483" s="209"/>
      <c r="F483" s="189"/>
      <c r="G483" s="189"/>
      <c r="H483" s="50" t="s">
        <v>108</v>
      </c>
      <c r="I483" s="50">
        <f>2*((IF($B$3="一级",MAX(2*F477,500),MAX(1.5*F477,500))-50)/100+1)+(G477-2*IF($B$3="一级",MAX(2*F477,500),MAX(1.5*F477,500)))/150-1</f>
        <v>45</v>
      </c>
      <c r="J483" s="50">
        <v>10</v>
      </c>
      <c r="K483" s="50">
        <f>(E477-2*$E$3+2*J483)*2+(F477-2*$E$3+2*J483)*2+2*1.9*J483+2*MAX(10*J483,75)</f>
        <v>1578</v>
      </c>
      <c r="L483" s="50">
        <f t="shared" si="8"/>
        <v>43.81317</v>
      </c>
      <c r="M483" s="189"/>
      <c r="N483" s="189"/>
      <c r="O483" s="189"/>
      <c r="P483" s="189"/>
      <c r="Q483" s="189"/>
    </row>
    <row r="484" spans="1:17" x14ac:dyDescent="0.15">
      <c r="B484" s="226"/>
      <c r="C484" s="221"/>
      <c r="D484" s="209"/>
      <c r="E484" s="209"/>
      <c r="F484" s="189"/>
      <c r="G484" s="189"/>
      <c r="H484" s="50" t="s">
        <v>132</v>
      </c>
      <c r="I484" s="50">
        <v>6</v>
      </c>
      <c r="J484" s="50">
        <v>8</v>
      </c>
      <c r="K484" s="49">
        <f>(E477-2*$E$3+2*J484)*2+(F477-2*$E$3+2*J484)*2+2*1.9*J484+2*MAX(10*J484,75)</f>
        <v>1514.4</v>
      </c>
      <c r="L484" s="50">
        <f t="shared" si="8"/>
        <v>3.5880376320000007</v>
      </c>
      <c r="M484" s="189"/>
      <c r="N484" s="189"/>
      <c r="O484" s="189"/>
      <c r="P484" s="189"/>
      <c r="Q484" s="189"/>
    </row>
    <row r="485" spans="1:17" s="46" customFormat="1" x14ac:dyDescent="0.15">
      <c r="A485" s="195"/>
      <c r="B485" s="226"/>
      <c r="C485" s="221"/>
      <c r="D485" s="209">
        <v>1</v>
      </c>
      <c r="E485" s="209">
        <v>250</v>
      </c>
      <c r="F485" s="189">
        <v>500</v>
      </c>
      <c r="G485" s="189">
        <v>6000</v>
      </c>
      <c r="H485" s="50" t="s">
        <v>112</v>
      </c>
      <c r="I485" s="50">
        <v>2</v>
      </c>
      <c r="J485" s="50">
        <v>22</v>
      </c>
      <c r="K485" s="49">
        <f>G485/3+MAX($D$3*J485,0.4*$D$3*J485+15*J485,MAX(柱工程量计算!$E$3:$F$72)-$E$3+15*J485)</f>
        <v>2900</v>
      </c>
      <c r="L485" s="50">
        <f t="shared" si="8"/>
        <v>17.320424000000003</v>
      </c>
      <c r="M485" s="189">
        <f>(2*F485+E485)*G485/10^6</f>
        <v>7.5</v>
      </c>
      <c r="N485" s="189">
        <f>PRODUCT(E485:G493)/10^9</f>
        <v>0.75</v>
      </c>
      <c r="O485" s="189">
        <f>SUM(L485:L493)</f>
        <v>133.18622219200003</v>
      </c>
      <c r="P485" s="189"/>
      <c r="Q485" s="189">
        <v>1</v>
      </c>
    </row>
    <row r="486" spans="1:17" s="46" customFormat="1" x14ac:dyDescent="0.15">
      <c r="A486" s="195"/>
      <c r="B486" s="226"/>
      <c r="C486" s="221"/>
      <c r="D486" s="209"/>
      <c r="E486" s="209"/>
      <c r="F486" s="189"/>
      <c r="G486" s="189"/>
      <c r="H486" s="50" t="s">
        <v>122</v>
      </c>
      <c r="I486" s="50">
        <v>1</v>
      </c>
      <c r="J486" s="50">
        <v>20</v>
      </c>
      <c r="K486" s="49">
        <f>G485/3+MAX($D$3*J486,0.4*$D$3*J486+15*J486,MAX(柱工程量计算!$E$3:$F$72)-$E$3+15*J486)</f>
        <v>2870</v>
      </c>
      <c r="L486" s="50">
        <f t="shared" si="8"/>
        <v>7.0831599999999995</v>
      </c>
      <c r="M486" s="189"/>
      <c r="N486" s="189"/>
      <c r="O486" s="189"/>
      <c r="P486" s="189"/>
      <c r="Q486" s="189"/>
    </row>
    <row r="487" spans="1:17" s="46" customFormat="1" x14ac:dyDescent="0.15">
      <c r="A487" s="195"/>
      <c r="B487" s="226"/>
      <c r="C487" s="221"/>
      <c r="D487" s="209"/>
      <c r="E487" s="209"/>
      <c r="F487" s="189"/>
      <c r="G487" s="189"/>
      <c r="H487" s="50" t="s">
        <v>98</v>
      </c>
      <c r="I487" s="50">
        <v>4</v>
      </c>
      <c r="J487" s="50">
        <v>22</v>
      </c>
      <c r="K487" s="49">
        <f>G485/3+MAX($D$3*J487,0.4*$D$3*J487+15*J487,MAX(柱工程量计算!$E$3:$F$72)-$E$3+15*J487)</f>
        <v>2900</v>
      </c>
      <c r="L487" s="50">
        <f t="shared" si="8"/>
        <v>34.640848000000005</v>
      </c>
      <c r="M487" s="189"/>
      <c r="N487" s="189"/>
      <c r="O487" s="189"/>
      <c r="P487" s="189"/>
      <c r="Q487" s="189"/>
    </row>
    <row r="488" spans="1:17" s="46" customFormat="1" x14ac:dyDescent="0.15">
      <c r="A488" s="195"/>
      <c r="B488" s="226"/>
      <c r="C488" s="221"/>
      <c r="D488" s="209"/>
      <c r="E488" s="209"/>
      <c r="F488" s="189"/>
      <c r="G488" s="189"/>
      <c r="H488" s="50" t="s">
        <v>99</v>
      </c>
      <c r="I488" s="50">
        <v>2</v>
      </c>
      <c r="J488" s="50">
        <v>18</v>
      </c>
      <c r="K488" s="49">
        <f>G485/4+MAX($D$3*J488,0.4*$D$3*J488+15*J488,MAX(柱工程量计算!$E$3:$F$72)-$E$3+15*J488)</f>
        <v>2340</v>
      </c>
      <c r="L488" s="50">
        <f t="shared" si="8"/>
        <v>9.3556944000000009</v>
      </c>
      <c r="M488" s="189"/>
      <c r="N488" s="189"/>
      <c r="O488" s="189"/>
      <c r="P488" s="189"/>
      <c r="Q488" s="189"/>
    </row>
    <row r="489" spans="1:17" s="46" customFormat="1" x14ac:dyDescent="0.15">
      <c r="A489" s="195"/>
      <c r="B489" s="226"/>
      <c r="C489" s="221"/>
      <c r="D489" s="209"/>
      <c r="E489" s="209"/>
      <c r="F489" s="189"/>
      <c r="G489" s="189"/>
      <c r="H489" s="50" t="s">
        <v>121</v>
      </c>
      <c r="I489" s="50">
        <v>2</v>
      </c>
      <c r="J489" s="50">
        <v>22</v>
      </c>
      <c r="K489" s="49">
        <f>G484+2*IF((MAX(柱工程量计算!$E$3:$F$72)-$E$3)&gt;$D$3*J489,MAX($D$3*J489,0.5*MAX(柱工程量计算!$E$3:$F$72)+5*J489),MAX($D$3*J489,0.4*$D$3*J489+15*J489))</f>
        <v>1155</v>
      </c>
      <c r="L489" s="50">
        <f t="shared" si="8"/>
        <v>6.8983068000000003</v>
      </c>
      <c r="M489" s="189"/>
      <c r="N489" s="189"/>
      <c r="O489" s="189"/>
      <c r="P489" s="189"/>
      <c r="Q489" s="189"/>
    </row>
    <row r="490" spans="1:17" s="46" customFormat="1" x14ac:dyDescent="0.15">
      <c r="A490" s="195"/>
      <c r="B490" s="226"/>
      <c r="C490" s="221"/>
      <c r="D490" s="209"/>
      <c r="E490" s="209"/>
      <c r="F490" s="189"/>
      <c r="G490" s="189"/>
      <c r="H490" s="50" t="s">
        <v>120</v>
      </c>
      <c r="I490" s="50">
        <v>1</v>
      </c>
      <c r="J490" s="50">
        <v>20</v>
      </c>
      <c r="K490" s="49">
        <f>G485+2*IF((MAX(柱工程量计算!$E$3:$F$72)-$E$3)&gt;$D$3*J490,MAX($D$3*J490,0.5*MAX(柱工程量计算!$E$3:$F$72)+5*J490),MAX($D$3*J490,0.4*$D$3*J490+15*J490))</f>
        <v>7050</v>
      </c>
      <c r="L490" s="50">
        <f t="shared" si="8"/>
        <v>17.3994</v>
      </c>
      <c r="M490" s="189"/>
      <c r="N490" s="189"/>
      <c r="O490" s="189"/>
      <c r="P490" s="189"/>
      <c r="Q490" s="189"/>
    </row>
    <row r="491" spans="1:17" s="46" customFormat="1" x14ac:dyDescent="0.15">
      <c r="A491" s="195"/>
      <c r="B491" s="226"/>
      <c r="C491" s="221"/>
      <c r="D491" s="209"/>
      <c r="E491" s="209"/>
      <c r="F491" s="189"/>
      <c r="G491" s="189"/>
      <c r="H491" s="50" t="s">
        <v>107</v>
      </c>
      <c r="I491" s="50">
        <f>((G485-50*2)/200*2+1)*$I$6/2</f>
        <v>120</v>
      </c>
      <c r="J491" s="50">
        <f>IF(E485&lt;=350,6,8)</f>
        <v>6</v>
      </c>
      <c r="K491" s="49">
        <f>E485-2*$E$3+2*1.9*J491+2*MAX(10*J491,75)+2*J491</f>
        <v>374.8</v>
      </c>
      <c r="L491" s="50">
        <f>I491*(J491/10)^2*0.617*K491/1000</f>
        <v>9.9900691199999976</v>
      </c>
      <c r="M491" s="189"/>
      <c r="N491" s="189"/>
      <c r="O491" s="189"/>
      <c r="P491" s="189"/>
      <c r="Q491" s="189"/>
    </row>
    <row r="492" spans="1:17" s="46" customFormat="1" x14ac:dyDescent="0.15">
      <c r="A492" s="195"/>
      <c r="B492" s="226"/>
      <c r="C492" s="221"/>
      <c r="D492" s="209"/>
      <c r="E492" s="209"/>
      <c r="F492" s="189"/>
      <c r="G492" s="189"/>
      <c r="H492" s="50" t="s">
        <v>108</v>
      </c>
      <c r="I492" s="50">
        <f>2*((IF($B$3="一级",MAX(2*F485,500),MAX(1.5*F485,500))-50)/100+1)+(G485-2*IF($B$3="一级",MAX(2*F485,500),MAX(1.5*F485,500)))/150-1</f>
        <v>45</v>
      </c>
      <c r="J492" s="50">
        <v>8</v>
      </c>
      <c r="K492" s="50">
        <f>(E485-2*$E$3+2*J492)*2+(F485-2*$E$3+2*J492)*2+2*1.9*J492+2*MAX(10*J492,75)</f>
        <v>1514.4</v>
      </c>
      <c r="L492" s="50">
        <f t="shared" si="8"/>
        <v>26.910282240000008</v>
      </c>
      <c r="M492" s="189"/>
      <c r="N492" s="189"/>
      <c r="O492" s="189"/>
      <c r="P492" s="189"/>
      <c r="Q492" s="189"/>
    </row>
    <row r="493" spans="1:17" s="46" customFormat="1" x14ac:dyDescent="0.15">
      <c r="A493" s="195"/>
      <c r="B493" s="226"/>
      <c r="C493" s="221"/>
      <c r="D493" s="209"/>
      <c r="E493" s="209"/>
      <c r="F493" s="189"/>
      <c r="G493" s="189"/>
      <c r="H493" s="50" t="s">
        <v>132</v>
      </c>
      <c r="I493" s="50">
        <v>6</v>
      </c>
      <c r="J493" s="50">
        <v>8</v>
      </c>
      <c r="K493" s="49">
        <f>(E485-2*$E$3+2*J493)*2+(F485-2*$E$3+2*J493)*2+2*1.9*J493+2*MAX(10*J493,75)</f>
        <v>1514.4</v>
      </c>
      <c r="L493" s="50">
        <f t="shared" si="8"/>
        <v>3.5880376320000007</v>
      </c>
      <c r="M493" s="189"/>
      <c r="N493" s="189"/>
      <c r="O493" s="189"/>
      <c r="P493" s="189"/>
      <c r="Q493" s="189"/>
    </row>
    <row r="494" spans="1:17" s="46" customFormat="1" x14ac:dyDescent="0.15">
      <c r="A494" s="195"/>
      <c r="B494" s="226"/>
      <c r="C494" s="221"/>
      <c r="D494" s="209">
        <v>1</v>
      </c>
      <c r="E494" s="209">
        <v>250</v>
      </c>
      <c r="F494" s="189">
        <v>500</v>
      </c>
      <c r="G494" s="189">
        <v>6000</v>
      </c>
      <c r="H494" s="50" t="s">
        <v>112</v>
      </c>
      <c r="I494" s="50">
        <v>4</v>
      </c>
      <c r="J494" s="50">
        <v>22</v>
      </c>
      <c r="K494" s="49">
        <f>G494/3+MAX($D$3*J494,0.4*$D$3*J494+15*J494,MAX(柱工程量计算!$E$3:$F$72)-$E$3+15*J494)</f>
        <v>2900</v>
      </c>
      <c r="L494" s="50">
        <f t="shared" si="8"/>
        <v>34.640848000000005</v>
      </c>
      <c r="M494" s="189">
        <f>(2*F494+E494)*G494/10^6</f>
        <v>7.5</v>
      </c>
      <c r="N494" s="189">
        <f>PRODUCT(E494:G502)/10^9</f>
        <v>0.75</v>
      </c>
      <c r="O494" s="189">
        <f>SUM(L494:L502)</f>
        <v>285.21152256800002</v>
      </c>
      <c r="P494" s="189"/>
      <c r="Q494" s="189">
        <v>1</v>
      </c>
    </row>
    <row r="495" spans="1:17" s="46" customFormat="1" x14ac:dyDescent="0.15">
      <c r="A495" s="195"/>
      <c r="B495" s="226"/>
      <c r="C495" s="221"/>
      <c r="D495" s="209"/>
      <c r="E495" s="209"/>
      <c r="F495" s="189"/>
      <c r="G495" s="189"/>
      <c r="H495" s="50" t="s">
        <v>122</v>
      </c>
      <c r="I495" s="50">
        <v>2</v>
      </c>
      <c r="J495" s="50">
        <v>18</v>
      </c>
      <c r="K495" s="49">
        <f>G494/3+MAX($D$3*J495,0.4*$D$3*J495+15*J495,MAX(柱工程量计算!$E$3:$F$72)-$E$3+15*J495)</f>
        <v>2840</v>
      </c>
      <c r="L495" s="50">
        <f t="shared" si="8"/>
        <v>11.3547744</v>
      </c>
      <c r="M495" s="189"/>
      <c r="N495" s="189"/>
      <c r="O495" s="189"/>
      <c r="P495" s="189"/>
      <c r="Q495" s="189"/>
    </row>
    <row r="496" spans="1:17" s="46" customFormat="1" x14ac:dyDescent="0.15">
      <c r="A496" s="195"/>
      <c r="B496" s="226"/>
      <c r="C496" s="221"/>
      <c r="D496" s="209"/>
      <c r="E496" s="209"/>
      <c r="F496" s="189"/>
      <c r="G496" s="189"/>
      <c r="H496" s="50" t="s">
        <v>98</v>
      </c>
      <c r="I496" s="50">
        <v>4</v>
      </c>
      <c r="J496" s="50">
        <v>22</v>
      </c>
      <c r="K496" s="49">
        <f>G494/3+MAX($D$3*J496,0.4*$D$3*J496+15*J496,MAX(柱工程量计算!$E$3:$F$72)-$E$3+15*J496)</f>
        <v>2900</v>
      </c>
      <c r="L496" s="50">
        <f t="shared" si="8"/>
        <v>34.640848000000005</v>
      </c>
      <c r="M496" s="189"/>
      <c r="N496" s="189"/>
      <c r="O496" s="189"/>
      <c r="P496" s="189"/>
      <c r="Q496" s="189"/>
    </row>
    <row r="497" spans="1:17" s="46" customFormat="1" x14ac:dyDescent="0.15">
      <c r="A497" s="195"/>
      <c r="B497" s="226"/>
      <c r="C497" s="221"/>
      <c r="D497" s="209"/>
      <c r="E497" s="209"/>
      <c r="F497" s="189"/>
      <c r="G497" s="189"/>
      <c r="H497" s="50" t="s">
        <v>99</v>
      </c>
      <c r="I497" s="50">
        <v>2</v>
      </c>
      <c r="J497" s="50">
        <v>18</v>
      </c>
      <c r="K497" s="49">
        <f>G494/4+MAX($D$3*J497,0.4*$D$3*J497+15*J497,MAX(柱工程量计算!$E$3:$F$72)-$E$3+15*J497)</f>
        <v>2340</v>
      </c>
      <c r="L497" s="50">
        <f t="shared" si="8"/>
        <v>9.3556944000000009</v>
      </c>
      <c r="M497" s="189"/>
      <c r="N497" s="189"/>
      <c r="O497" s="189"/>
      <c r="P497" s="189"/>
      <c r="Q497" s="189"/>
    </row>
    <row r="498" spans="1:17" s="46" customFormat="1" x14ac:dyDescent="0.15">
      <c r="A498" s="195"/>
      <c r="B498" s="226"/>
      <c r="C498" s="221"/>
      <c r="D498" s="209"/>
      <c r="E498" s="209"/>
      <c r="F498" s="189"/>
      <c r="G498" s="189"/>
      <c r="H498" s="50" t="s">
        <v>121</v>
      </c>
      <c r="I498" s="50">
        <v>3</v>
      </c>
      <c r="J498" s="50">
        <v>22</v>
      </c>
      <c r="K498" s="49">
        <f>G494+2*IF((MAX(柱工程量计算!$E$3:$F$72)-$E$3)&gt;$D$3*J498,MAX($D$3*J498,0.5*MAX(柱工程量计算!$E$3:$F$72)+5*J498),MAX($D$3*J498,0.4*$D$3*J498+15*J498))</f>
        <v>7155</v>
      </c>
      <c r="L498" s="50">
        <f t="shared" si="8"/>
        <v>64.100500200000013</v>
      </c>
      <c r="M498" s="189"/>
      <c r="N498" s="189"/>
      <c r="O498" s="189"/>
      <c r="P498" s="189"/>
      <c r="Q498" s="189"/>
    </row>
    <row r="499" spans="1:17" s="46" customFormat="1" x14ac:dyDescent="0.15">
      <c r="A499" s="195"/>
      <c r="B499" s="226"/>
      <c r="C499" s="221"/>
      <c r="D499" s="209"/>
      <c r="E499" s="209"/>
      <c r="F499" s="189"/>
      <c r="G499" s="189"/>
      <c r="H499" s="50" t="s">
        <v>120</v>
      </c>
      <c r="I499" s="50">
        <v>4</v>
      </c>
      <c r="J499" s="50">
        <v>22</v>
      </c>
      <c r="K499" s="49">
        <f>G494+2*IF((MAX(柱工程量计算!$E$3:$F$72)-$E$3)&gt;$D$3*J499,MAX($D$3*J499,0.5*MAX(柱工程量计算!$E$3:$F$72)+5*J499),MAX($D$3*J499,0.4*$D$3*J499+15*J499))</f>
        <v>7155</v>
      </c>
      <c r="L499" s="50">
        <f t="shared" si="8"/>
        <v>85.467333600000018</v>
      </c>
      <c r="M499" s="189"/>
      <c r="N499" s="189"/>
      <c r="O499" s="189"/>
      <c r="P499" s="189"/>
      <c r="Q499" s="189"/>
    </row>
    <row r="500" spans="1:17" s="46" customFormat="1" x14ac:dyDescent="0.15">
      <c r="A500" s="195"/>
      <c r="B500" s="226"/>
      <c r="C500" s="221"/>
      <c r="D500" s="209"/>
      <c r="E500" s="209"/>
      <c r="F500" s="189"/>
      <c r="G500" s="189"/>
      <c r="H500" s="50" t="s">
        <v>107</v>
      </c>
      <c r="I500" s="50">
        <f>((G494-50*2)/200*2+1)*$I$6/2</f>
        <v>120</v>
      </c>
      <c r="J500" s="50">
        <f>IF(E494&lt;=350,6,8)</f>
        <v>6</v>
      </c>
      <c r="K500" s="49">
        <f>E494-2*$E$3+2*1.9*J500+2*MAX(10*J500,75)+2*J500</f>
        <v>374.8</v>
      </c>
      <c r="L500" s="50">
        <f t="shared" si="8"/>
        <v>9.9900691199999976</v>
      </c>
      <c r="M500" s="189"/>
      <c r="N500" s="189"/>
      <c r="O500" s="189"/>
      <c r="P500" s="189"/>
      <c r="Q500" s="189"/>
    </row>
    <row r="501" spans="1:17" s="46" customFormat="1" x14ac:dyDescent="0.15">
      <c r="A501" s="195"/>
      <c r="B501" s="226"/>
      <c r="C501" s="221"/>
      <c r="D501" s="209"/>
      <c r="E501" s="209"/>
      <c r="F501" s="189"/>
      <c r="G501" s="189"/>
      <c r="H501" s="50" t="s">
        <v>108</v>
      </c>
      <c r="I501" s="50">
        <f>2*((IF($B$3="一级",MAX(2*F494,500),MAX(1.5*F494,500))-50)/100+1)+(G494-2*IF($B$3="一级",MAX(2*F494,500),MAX(1.5*F494,500)))/150-1</f>
        <v>45</v>
      </c>
      <c r="J501" s="50">
        <v>8</v>
      </c>
      <c r="K501" s="50">
        <f>(E494-2*$E$3+2*J501)*2+(F494-2*$E$3+2*J501)*2+2*1.9*J501+2*MAX(10*J501,75)</f>
        <v>1514.4</v>
      </c>
      <c r="L501" s="50">
        <f t="shared" si="8"/>
        <v>26.910282240000008</v>
      </c>
      <c r="M501" s="189"/>
      <c r="N501" s="189"/>
      <c r="O501" s="189"/>
      <c r="P501" s="189"/>
      <c r="Q501" s="189"/>
    </row>
    <row r="502" spans="1:17" s="46" customFormat="1" x14ac:dyDescent="0.15">
      <c r="A502" s="195"/>
      <c r="B502" s="226"/>
      <c r="C502" s="222"/>
      <c r="D502" s="209"/>
      <c r="E502" s="209"/>
      <c r="F502" s="189"/>
      <c r="G502" s="189"/>
      <c r="H502" s="50" t="s">
        <v>132</v>
      </c>
      <c r="I502" s="50">
        <v>6</v>
      </c>
      <c r="J502" s="50">
        <v>12</v>
      </c>
      <c r="K502" s="49">
        <f>(E494-2*$E$3+2*J502)*2+(F494-2*$E$3+2*J502)*2+2*1.9*J502+2*MAX(10*J502,75)</f>
        <v>1641.6</v>
      </c>
      <c r="L502" s="50">
        <f t="shared" si="8"/>
        <v>8.751172608000001</v>
      </c>
      <c r="M502" s="189"/>
      <c r="N502" s="189"/>
      <c r="O502" s="189"/>
      <c r="P502" s="189"/>
      <c r="Q502" s="189"/>
    </row>
    <row r="503" spans="1:17" x14ac:dyDescent="0.15">
      <c r="B503" s="226"/>
      <c r="C503" s="209" t="s">
        <v>134</v>
      </c>
      <c r="D503" s="220">
        <v>2</v>
      </c>
      <c r="E503" s="220">
        <v>300</v>
      </c>
      <c r="F503" s="203">
        <v>400</v>
      </c>
      <c r="G503" s="203">
        <v>2450</v>
      </c>
      <c r="H503" s="50" t="s">
        <v>130</v>
      </c>
      <c r="I503" s="50">
        <v>2</v>
      </c>
      <c r="J503" s="50">
        <v>14</v>
      </c>
      <c r="K503" s="49">
        <f>G503+2*IF((MAX(柱工程量计算!$E$3:$F$72)-$E$3)&gt;$D$3*J503,MAX($D$3*J503,0.5*MAX(柱工程量计算!$E$3:$F$72)+5*J503,MAX($D$3*J503,0.4*$D$3*J503+15*J503)))</f>
        <v>3190</v>
      </c>
      <c r="L503" s="50">
        <f t="shared" si="8"/>
        <v>7.7154615999999976</v>
      </c>
      <c r="M503" s="189">
        <f>(2*F503+E503)*G503/10^6</f>
        <v>2.6949999999999998</v>
      </c>
      <c r="N503" s="189">
        <f>PRODUCT(E503:G506)/10^9</f>
        <v>0.29399999999999998</v>
      </c>
      <c r="O503" s="189">
        <f>SUM(L503:L506)</f>
        <v>37.002881951999996</v>
      </c>
      <c r="P503" s="189"/>
      <c r="Q503" s="189">
        <v>1</v>
      </c>
    </row>
    <row r="504" spans="1:17" x14ac:dyDescent="0.15">
      <c r="B504" s="226"/>
      <c r="C504" s="209"/>
      <c r="D504" s="221"/>
      <c r="E504" s="221"/>
      <c r="F504" s="201"/>
      <c r="G504" s="201"/>
      <c r="H504" s="50" t="s">
        <v>129</v>
      </c>
      <c r="I504" s="50">
        <v>2</v>
      </c>
      <c r="J504" s="50">
        <v>14</v>
      </c>
      <c r="K504" s="49">
        <f>$G$7+2*IF((MAX(柱工程量计算!$E$3:$F$72)-$E$3)&gt;$D$3*J504,MAX($D$3*J504,0.5*MAX(柱工程量计算!$E$3:$F$72)+5*J504),MAX($D$3*J504,0.4*$D$3*J504+15*J504))</f>
        <v>6740</v>
      </c>
      <c r="L504" s="50">
        <f t="shared" si="8"/>
        <v>16.301633599999995</v>
      </c>
      <c r="M504" s="189"/>
      <c r="N504" s="189"/>
      <c r="O504" s="189"/>
      <c r="P504" s="189"/>
      <c r="Q504" s="189"/>
    </row>
    <row r="505" spans="1:17" x14ac:dyDescent="0.15">
      <c r="B505" s="226"/>
      <c r="C505" s="209"/>
      <c r="D505" s="221"/>
      <c r="E505" s="221"/>
      <c r="F505" s="201"/>
      <c r="G505" s="201"/>
      <c r="H505" s="50" t="s">
        <v>108</v>
      </c>
      <c r="I505" s="50">
        <f>2*((IF($B$3="一级",MAX(2*F503,500),MAX(1.5*F503,500))-50)/100+1)+(G503-2*IF($B$3="一级",MAX(2*F503,500),MAX(1.5*F503,500)))/100-1</f>
        <v>24.5</v>
      </c>
      <c r="J505" s="50">
        <v>6</v>
      </c>
      <c r="K505" s="50">
        <f>(E503-2*$E$3+2*J505)*2+(F503-2*$E$3+2*J505)*2+2*1.9*J505+2*MAX(10*J505,75)</f>
        <v>1380.8</v>
      </c>
      <c r="L505" s="50">
        <f t="shared" si="8"/>
        <v>7.5142307519999996</v>
      </c>
      <c r="M505" s="189"/>
      <c r="N505" s="189"/>
      <c r="O505" s="189"/>
      <c r="P505" s="189"/>
      <c r="Q505" s="189"/>
    </row>
    <row r="506" spans="1:17" x14ac:dyDescent="0.15">
      <c r="B506" s="226"/>
      <c r="C506" s="209"/>
      <c r="D506" s="222"/>
      <c r="E506" s="222"/>
      <c r="F506" s="202"/>
      <c r="G506" s="202"/>
      <c r="H506" s="50" t="s">
        <v>132</v>
      </c>
      <c r="I506" s="50">
        <v>6</v>
      </c>
      <c r="J506" s="50">
        <v>10</v>
      </c>
      <c r="K506" s="49">
        <f>(E503-2*$E$3+2*J506)*2+(F503-2*$E$3+2*J506)*2+2*1.9*J506+2*MAX(10*J506,75)</f>
        <v>1478</v>
      </c>
      <c r="L506" s="50">
        <f t="shared" si="8"/>
        <v>5.4715559999999996</v>
      </c>
      <c r="M506" s="189"/>
      <c r="N506" s="189"/>
      <c r="O506" s="189"/>
      <c r="P506" s="189"/>
      <c r="Q506" s="189"/>
    </row>
    <row r="507" spans="1:17" x14ac:dyDescent="0.15">
      <c r="B507" s="208" t="s">
        <v>150</v>
      </c>
      <c r="C507" s="209" t="s">
        <v>151</v>
      </c>
      <c r="D507" s="189" t="s">
        <v>106</v>
      </c>
      <c r="E507" s="189"/>
      <c r="F507" s="189">
        <v>15300</v>
      </c>
      <c r="G507" s="189"/>
      <c r="H507" s="50" t="s">
        <v>103</v>
      </c>
      <c r="I507" s="50">
        <v>2</v>
      </c>
      <c r="J507" s="50">
        <v>16</v>
      </c>
      <c r="K507" s="49">
        <f>F507+2*IF((MAX(柱工程量计算!$E$3:$F$72)-$E$3)&gt;$D$3*J507,MAX($D$3*J507,0.5*MAX(柱工程量计算!$E$3:$F$72)+5*J507,MAX($D$3*J507,0.4*$D$3*J507+15*J507)))</f>
        <v>16140</v>
      </c>
      <c r="L507" s="50">
        <f t="shared" si="8"/>
        <v>50.986905600000007</v>
      </c>
      <c r="M507" s="189">
        <f>(2*F509+E509)*G509/10^6</f>
        <v>7.5</v>
      </c>
      <c r="N507" s="189">
        <f>PRODUCT(E509:G514)/10^9</f>
        <v>0.75</v>
      </c>
      <c r="O507" s="189">
        <f>SUM(L507:L514)</f>
        <v>181.3814644</v>
      </c>
      <c r="P507" s="189">
        <v>1</v>
      </c>
      <c r="Q507" s="189"/>
    </row>
    <row r="508" spans="1:17" x14ac:dyDescent="0.15">
      <c r="B508" s="208"/>
      <c r="C508" s="209"/>
      <c r="D508" s="189"/>
      <c r="E508" s="189"/>
      <c r="F508" s="189"/>
      <c r="G508" s="189"/>
      <c r="H508" s="50" t="s">
        <v>100</v>
      </c>
      <c r="I508" s="50">
        <v>4</v>
      </c>
      <c r="J508" s="50">
        <v>12</v>
      </c>
      <c r="K508" s="49">
        <f>IF(F509&gt;=450,F507+2*IF((MAX(柱工程量计算!$E$3:$F$72)-$E$3)&gt;$D$3*J508,MAX($D$3*J508,0.5*MAX(柱工程量计算!$E$3:$F$72)+5*J508),MAX($D$3*J508,0.4*$D$3*J508+15*J508)),F507+15*J508)</f>
        <v>16020</v>
      </c>
      <c r="L508" s="50">
        <f t="shared" si="8"/>
        <v>56.933798399999993</v>
      </c>
      <c r="M508" s="189"/>
      <c r="N508" s="189"/>
      <c r="O508" s="189"/>
      <c r="P508" s="189"/>
      <c r="Q508" s="189"/>
    </row>
    <row r="509" spans="1:17" x14ac:dyDescent="0.15">
      <c r="B509" s="208"/>
      <c r="C509" s="209"/>
      <c r="D509" s="209">
        <v>1</v>
      </c>
      <c r="E509" s="209">
        <v>250</v>
      </c>
      <c r="F509" s="189">
        <v>500</v>
      </c>
      <c r="G509" s="189">
        <v>6000</v>
      </c>
      <c r="H509" s="50" t="s">
        <v>111</v>
      </c>
      <c r="I509" s="50">
        <v>2</v>
      </c>
      <c r="J509" s="50">
        <v>16</v>
      </c>
      <c r="K509" s="49">
        <f>G509/3+MAX($D$3*J509,0.4*$D$3*J509+15*J509,MAX(柱工程量计算!$E$3:$F$72)-$E$3+15*J509)</f>
        <v>2810</v>
      </c>
      <c r="L509" s="50">
        <f t="shared" si="8"/>
        <v>8.8769024000000005</v>
      </c>
      <c r="M509" s="189"/>
      <c r="N509" s="189"/>
      <c r="O509" s="189"/>
      <c r="P509" s="189"/>
      <c r="Q509" s="189"/>
    </row>
    <row r="510" spans="1:17" x14ac:dyDescent="0.15">
      <c r="B510" s="208"/>
      <c r="C510" s="209"/>
      <c r="D510" s="209"/>
      <c r="E510" s="209"/>
      <c r="F510" s="189"/>
      <c r="G510" s="189"/>
      <c r="H510" s="50" t="s">
        <v>110</v>
      </c>
      <c r="I510" s="50">
        <v>1</v>
      </c>
      <c r="J510" s="50">
        <v>14</v>
      </c>
      <c r="K510" s="49">
        <f>G509/4+MAX($D$3*J510,0.4*$D$3*J510+15*J510,MAX(柱工程量计算!$E$3:$F$72)-$E$3+15*J510)</f>
        <v>2280</v>
      </c>
      <c r="L510" s="50">
        <f t="shared" si="8"/>
        <v>2.7572495999999993</v>
      </c>
      <c r="M510" s="189"/>
      <c r="N510" s="189"/>
      <c r="O510" s="189"/>
      <c r="P510" s="189"/>
      <c r="Q510" s="189"/>
    </row>
    <row r="511" spans="1:17" x14ac:dyDescent="0.15">
      <c r="B511" s="208"/>
      <c r="C511" s="209"/>
      <c r="D511" s="209"/>
      <c r="E511" s="209"/>
      <c r="F511" s="189"/>
      <c r="G511" s="189"/>
      <c r="H511" s="50" t="s">
        <v>146</v>
      </c>
      <c r="I511" s="50">
        <v>2</v>
      </c>
      <c r="J511" s="50">
        <v>16</v>
      </c>
      <c r="K511" s="49">
        <f>G509/3+MAX($D$3*J511,0.4*$D$3*J511+15*J511,MAX(柱工程量计算!$E$3:$F$72)-$E$3+15*J511)</f>
        <v>2810</v>
      </c>
      <c r="L511" s="50">
        <f t="shared" si="8"/>
        <v>8.8769024000000005</v>
      </c>
      <c r="M511" s="189"/>
      <c r="N511" s="189"/>
      <c r="O511" s="189"/>
      <c r="P511" s="189"/>
      <c r="Q511" s="189"/>
    </row>
    <row r="512" spans="1:17" x14ac:dyDescent="0.15">
      <c r="B512" s="208"/>
      <c r="C512" s="209"/>
      <c r="D512" s="209"/>
      <c r="E512" s="209"/>
      <c r="F512" s="189"/>
      <c r="G512" s="189"/>
      <c r="H512" s="50" t="s">
        <v>113</v>
      </c>
      <c r="I512" s="50">
        <v>1</v>
      </c>
      <c r="J512" s="50">
        <v>14</v>
      </c>
      <c r="K512" s="49">
        <f>G509/4+MAX($D$3*J512,0.4*$D$3*J512+15*J512,MAX(柱工程量计算!$E$3:$F$72)-$E$3+15*J512)</f>
        <v>2280</v>
      </c>
      <c r="L512" s="50">
        <f t="shared" si="8"/>
        <v>2.7572495999999993</v>
      </c>
      <c r="M512" s="189"/>
      <c r="N512" s="189"/>
      <c r="O512" s="189"/>
      <c r="P512" s="189"/>
      <c r="Q512" s="189"/>
    </row>
    <row r="513" spans="2:17" x14ac:dyDescent="0.15">
      <c r="B513" s="208"/>
      <c r="C513" s="209"/>
      <c r="D513" s="209"/>
      <c r="E513" s="209"/>
      <c r="F513" s="189"/>
      <c r="G513" s="189"/>
      <c r="H513" s="50" t="s">
        <v>152</v>
      </c>
      <c r="I513" s="50">
        <v>2</v>
      </c>
      <c r="J513" s="50">
        <v>18</v>
      </c>
      <c r="K513" s="49">
        <f>G509+2*IF((MAX(柱工程量计算!$E$3:$F$72)-$E$3)&gt;$D$3*J513,MAX($D$3*J513,0.5*MAX(柱工程量计算!$E$3:$F$72)+5*J513),MAX($D$3*J513,0.4*$D$3*J513+15*J513))</f>
        <v>6945</v>
      </c>
      <c r="L513" s="50">
        <f t="shared" si="8"/>
        <v>27.767221200000005</v>
      </c>
      <c r="M513" s="189"/>
      <c r="N513" s="189"/>
      <c r="O513" s="189"/>
      <c r="P513" s="189"/>
      <c r="Q513" s="189"/>
    </row>
    <row r="514" spans="2:17" x14ac:dyDescent="0.15">
      <c r="B514" s="208"/>
      <c r="C514" s="209"/>
      <c r="D514" s="209"/>
      <c r="E514" s="209"/>
      <c r="F514" s="189"/>
      <c r="G514" s="189"/>
      <c r="H514" s="50" t="s">
        <v>108</v>
      </c>
      <c r="I514" s="50">
        <f>2*((IF(B507="一级",MAX(2*F509,500),MAX(1.5*F509,500))-50)/100+1)+(G509-2*IF(B507="一级",MAX(2*F509,500),MAX(1.5*F509,500)))/200-1</f>
        <v>37.5</v>
      </c>
      <c r="J514" s="50">
        <v>8</v>
      </c>
      <c r="K514" s="50">
        <f>(E509-2*$E$3+2*J514)*2+(F509-2*$E$3+2*J514)*2+2*1.9*J514+2*MAX(10*J514,75)</f>
        <v>1514.4</v>
      </c>
      <c r="L514" s="50">
        <f t="shared" si="8"/>
        <v>22.425235200000003</v>
      </c>
      <c r="M514" s="189"/>
      <c r="N514" s="189"/>
      <c r="O514" s="189"/>
      <c r="P514" s="189"/>
      <c r="Q514" s="189"/>
    </row>
    <row r="515" spans="2:17" x14ac:dyDescent="0.15">
      <c r="B515" s="208"/>
      <c r="C515" s="209"/>
      <c r="D515" s="209">
        <v>1</v>
      </c>
      <c r="E515" s="209">
        <v>300</v>
      </c>
      <c r="F515" s="189">
        <v>350</v>
      </c>
      <c r="G515" s="189">
        <v>2100</v>
      </c>
      <c r="H515" s="50" t="s">
        <v>105</v>
      </c>
      <c r="I515" s="50">
        <v>3</v>
      </c>
      <c r="J515" s="50">
        <v>14</v>
      </c>
      <c r="K515" s="49">
        <f>G515-G515/3*2+150*2</f>
        <v>1000</v>
      </c>
      <c r="L515" s="50">
        <f t="shared" si="8"/>
        <v>3.6279599999999994</v>
      </c>
      <c r="M515" s="189">
        <f>(2*F515+E515)*G515/10^6</f>
        <v>2.1</v>
      </c>
      <c r="N515" s="189">
        <f>PRODUCT(E515:G519)/10^9</f>
        <v>0.2205</v>
      </c>
      <c r="O515" s="189">
        <f>SUM(L515:L519)</f>
        <v>30.761391250823529</v>
      </c>
      <c r="P515" s="189">
        <v>1</v>
      </c>
      <c r="Q515" s="189"/>
    </row>
    <row r="516" spans="2:17" x14ac:dyDescent="0.15">
      <c r="B516" s="208"/>
      <c r="C516" s="209"/>
      <c r="D516" s="209"/>
      <c r="E516" s="209"/>
      <c r="F516" s="189"/>
      <c r="G516" s="189"/>
      <c r="H516" s="50" t="s">
        <v>95</v>
      </c>
      <c r="I516" s="50">
        <v>3</v>
      </c>
      <c r="J516" s="50">
        <v>14</v>
      </c>
      <c r="K516" s="49">
        <f>G515/3+MAX($D$3*J516,0.4*$D$3*J516+15*J516,MAX(柱工程量计算!$E$3:$F$72)-$E$3+15*J516)</f>
        <v>1480</v>
      </c>
      <c r="L516" s="50">
        <f t="shared" si="8"/>
        <v>5.3693807999999992</v>
      </c>
      <c r="M516" s="189"/>
      <c r="N516" s="189"/>
      <c r="O516" s="189"/>
      <c r="P516" s="189"/>
      <c r="Q516" s="189"/>
    </row>
    <row r="517" spans="2:17" x14ac:dyDescent="0.15">
      <c r="B517" s="208"/>
      <c r="C517" s="209"/>
      <c r="D517" s="209"/>
      <c r="E517" s="209"/>
      <c r="F517" s="189"/>
      <c r="G517" s="189"/>
      <c r="H517" s="50" t="s">
        <v>98</v>
      </c>
      <c r="I517" s="50">
        <v>3</v>
      </c>
      <c r="J517" s="50">
        <v>14</v>
      </c>
      <c r="K517" s="49">
        <f>G515/3+MAX($D$3*J517,0.4*$D$3*J517+15*J517,MAX(柱工程量计算!$E$3:$F$72)-$E$3+15*J517)</f>
        <v>1480</v>
      </c>
      <c r="L517" s="50">
        <f t="shared" si="8"/>
        <v>5.3693807999999992</v>
      </c>
      <c r="M517" s="189"/>
      <c r="N517" s="189"/>
      <c r="O517" s="189"/>
      <c r="P517" s="189"/>
      <c r="Q517" s="189"/>
    </row>
    <row r="518" spans="2:17" x14ac:dyDescent="0.15">
      <c r="B518" s="208"/>
      <c r="C518" s="209"/>
      <c r="D518" s="209"/>
      <c r="E518" s="209"/>
      <c r="F518" s="189"/>
      <c r="G518" s="189"/>
      <c r="H518" s="50" t="s">
        <v>153</v>
      </c>
      <c r="I518" s="50">
        <v>2</v>
      </c>
      <c r="J518" s="50">
        <v>14</v>
      </c>
      <c r="K518" s="49">
        <f>G515+2*IF((MAX(柱工程量计算!$E$3:$F$72)-$E$3)&gt;$D$3*J518,MAX($D$3*J518,0.5*MAX(柱工程量计算!$E$3:$F$72)+5*J518),MAX($D$3*J518,0.4*$D$3*J518+15*J518))</f>
        <v>2840</v>
      </c>
      <c r="L518" s="50">
        <f t="shared" si="8"/>
        <v>6.868937599999998</v>
      </c>
      <c r="M518" s="189"/>
      <c r="N518" s="189"/>
      <c r="O518" s="189"/>
      <c r="P518" s="189"/>
      <c r="Q518" s="189"/>
    </row>
    <row r="519" spans="2:17" x14ac:dyDescent="0.15">
      <c r="B519" s="208"/>
      <c r="C519" s="209"/>
      <c r="D519" s="209"/>
      <c r="E519" s="209"/>
      <c r="F519" s="189"/>
      <c r="G519" s="189"/>
      <c r="H519" s="50" t="s">
        <v>108</v>
      </c>
      <c r="I519" s="50">
        <f>2*((IF($B$3="一级",MAX(2*F515,500),MAX(1.5*F515,500))-50)/85+1)+(G515-2*IF($B$3="一级",MAX(2*F515,500),MAX(1.5*F515,500)))/170-1</f>
        <v>18.352941176470587</v>
      </c>
      <c r="J519" s="50">
        <v>8</v>
      </c>
      <c r="K519" s="50">
        <f>(E515-2*$E$3+2*J519)*2+(F515-2*$E$3+2*J519)*2+2*1.9*J519+2*MAX(10*J519,75)</f>
        <v>1314.4</v>
      </c>
      <c r="L519" s="50">
        <f t="shared" si="8"/>
        <v>9.5257320508235317</v>
      </c>
      <c r="M519" s="189"/>
      <c r="N519" s="189"/>
      <c r="O519" s="189"/>
      <c r="P519" s="189"/>
      <c r="Q519" s="189"/>
    </row>
    <row r="520" spans="2:17" x14ac:dyDescent="0.15">
      <c r="B520" s="208"/>
      <c r="C520" s="209"/>
      <c r="D520" s="209">
        <v>1</v>
      </c>
      <c r="E520" s="209">
        <v>250</v>
      </c>
      <c r="F520" s="189">
        <v>500</v>
      </c>
      <c r="G520" s="189">
        <v>6000</v>
      </c>
      <c r="H520" s="50" t="s">
        <v>111</v>
      </c>
      <c r="I520" s="50">
        <v>2</v>
      </c>
      <c r="J520" s="50">
        <v>16</v>
      </c>
      <c r="K520" s="49">
        <f>G520/3+MAX($D$3*J520,0.4*$D$3*J520+15*J520,MAX(柱工程量计算!$E$3:$F$72)-$E$3+15*J520)</f>
        <v>2810</v>
      </c>
      <c r="L520" s="50">
        <f t="shared" si="8"/>
        <v>8.8769024000000005</v>
      </c>
      <c r="M520" s="189">
        <f>(2*F520+E520)*G520/10^6</f>
        <v>7.5</v>
      </c>
      <c r="N520" s="189">
        <f>PRODUCT(E520:G525)/10^9</f>
        <v>0.75</v>
      </c>
      <c r="O520" s="189">
        <f>SUM(L520:L525)</f>
        <v>74.065420400000008</v>
      </c>
      <c r="P520" s="189">
        <v>1</v>
      </c>
      <c r="Q520" s="189"/>
    </row>
    <row r="521" spans="2:17" x14ac:dyDescent="0.15">
      <c r="B521" s="208"/>
      <c r="C521" s="209"/>
      <c r="D521" s="209"/>
      <c r="E521" s="209"/>
      <c r="F521" s="189"/>
      <c r="G521" s="189"/>
      <c r="H521" s="50" t="s">
        <v>110</v>
      </c>
      <c r="I521" s="50">
        <v>1</v>
      </c>
      <c r="J521" s="50">
        <v>14</v>
      </c>
      <c r="K521" s="49">
        <f>G520/3+MAX($D$3*J521,0.4*$D$3*J521+15*J521,MAX(柱工程量计算!$E$3:$F$72)-$E$3+15*J521)</f>
        <v>2780</v>
      </c>
      <c r="L521" s="50">
        <f t="shared" si="8"/>
        <v>3.3619095999999988</v>
      </c>
      <c r="M521" s="189"/>
      <c r="N521" s="189"/>
      <c r="O521" s="189"/>
      <c r="P521" s="189"/>
      <c r="Q521" s="189"/>
    </row>
    <row r="522" spans="2:17" x14ac:dyDescent="0.15">
      <c r="B522" s="208"/>
      <c r="C522" s="209"/>
      <c r="D522" s="209"/>
      <c r="E522" s="209"/>
      <c r="F522" s="189"/>
      <c r="G522" s="189"/>
      <c r="H522" s="50" t="s">
        <v>146</v>
      </c>
      <c r="I522" s="50">
        <v>2</v>
      </c>
      <c r="J522" s="50">
        <v>16</v>
      </c>
      <c r="K522" s="49">
        <f>G520/3+MAX($D$3*J522,0.4*$D$3*J522+15*J522,MAX(柱工程量计算!$E$3:$F$72)-$E$3+15*J522)</f>
        <v>2810</v>
      </c>
      <c r="L522" s="50">
        <f t="shared" si="8"/>
        <v>8.8769024000000005</v>
      </c>
      <c r="M522" s="189"/>
      <c r="N522" s="189"/>
      <c r="O522" s="189"/>
      <c r="P522" s="189"/>
      <c r="Q522" s="189"/>
    </row>
    <row r="523" spans="2:17" x14ac:dyDescent="0.15">
      <c r="B523" s="208"/>
      <c r="C523" s="209"/>
      <c r="D523" s="209"/>
      <c r="E523" s="209"/>
      <c r="F523" s="189"/>
      <c r="G523" s="189"/>
      <c r="H523" s="50" t="s">
        <v>113</v>
      </c>
      <c r="I523" s="50">
        <v>1</v>
      </c>
      <c r="J523" s="50">
        <v>14</v>
      </c>
      <c r="K523" s="49">
        <f>G520/4+MAX($D$3*J523,0.4*$D$3*J523+15*J523,MAX(柱工程量计算!$E$3:$F$72)-$E$3+15*J523)</f>
        <v>2280</v>
      </c>
      <c r="L523" s="50">
        <f t="shared" si="8"/>
        <v>2.7572495999999993</v>
      </c>
      <c r="M523" s="189"/>
      <c r="N523" s="189"/>
      <c r="O523" s="189"/>
      <c r="P523" s="189"/>
      <c r="Q523" s="189"/>
    </row>
    <row r="524" spans="2:17" x14ac:dyDescent="0.15">
      <c r="B524" s="208"/>
      <c r="C524" s="209"/>
      <c r="D524" s="209"/>
      <c r="E524" s="209"/>
      <c r="F524" s="189"/>
      <c r="G524" s="189"/>
      <c r="H524" s="50" t="s">
        <v>153</v>
      </c>
      <c r="I524" s="50">
        <v>2</v>
      </c>
      <c r="J524" s="50">
        <v>18</v>
      </c>
      <c r="K524" s="49">
        <f>G520+2*IF((MAX(柱工程量计算!$E$3:$F$72)-$E$3)&gt;$D$3*J524,MAX($D$3*J524,0.5*MAX(柱工程量计算!$E$3:$F$72)+5*J524),MAX($D$3*J524,0.4*$D$3*J524+15*J524))</f>
        <v>6945</v>
      </c>
      <c r="L524" s="50">
        <f t="shared" si="8"/>
        <v>27.767221200000005</v>
      </c>
      <c r="M524" s="189"/>
      <c r="N524" s="189"/>
      <c r="O524" s="189"/>
      <c r="P524" s="189"/>
      <c r="Q524" s="189"/>
    </row>
    <row r="525" spans="2:17" x14ac:dyDescent="0.15">
      <c r="B525" s="208"/>
      <c r="C525" s="209"/>
      <c r="D525" s="209"/>
      <c r="E525" s="209"/>
      <c r="F525" s="189"/>
      <c r="G525" s="189"/>
      <c r="H525" s="50" t="s">
        <v>108</v>
      </c>
      <c r="I525" s="50">
        <f>2*((IF($B$3="一级",MAX(2*F520,500),MAX(1.5*F520,500))-50)/100+1)+(G520-2*IF($B$3="一级",MAX(2*F520,500),MAX(1.5*F520,500)))/200-1</f>
        <v>37.5</v>
      </c>
      <c r="J525" s="50">
        <v>8</v>
      </c>
      <c r="K525" s="50">
        <f>(E520-2*$E$3+2*J525)*2+(F520-2*$E$3+2*J525)*2+2*1.9*J525+2*MAX(10*J525,75)</f>
        <v>1514.4</v>
      </c>
      <c r="L525" s="50">
        <f t="shared" si="8"/>
        <v>22.425235200000003</v>
      </c>
      <c r="M525" s="189"/>
      <c r="N525" s="189"/>
      <c r="O525" s="189"/>
      <c r="P525" s="189"/>
      <c r="Q525" s="189"/>
    </row>
    <row r="526" spans="2:17" x14ac:dyDescent="0.15">
      <c r="B526" s="208"/>
      <c r="C526" s="209" t="s">
        <v>154</v>
      </c>
      <c r="D526" s="189" t="s">
        <v>106</v>
      </c>
      <c r="E526" s="189"/>
      <c r="F526" s="189">
        <v>15300</v>
      </c>
      <c r="G526" s="189"/>
      <c r="H526" s="50" t="s">
        <v>103</v>
      </c>
      <c r="I526" s="50">
        <v>2</v>
      </c>
      <c r="J526" s="50">
        <v>18</v>
      </c>
      <c r="K526" s="49">
        <f>F526+2*IF((MAX(柱工程量计算!$E$3:$F$72)-$E$3)&gt;$D$3*J526,MAX($D$3*J526,0.5*MAX(柱工程量计算!$E$3:$F$72)+5*J526,MAX($D$3*J526,0.4*$D$3*J526+15*J526)))</f>
        <v>16245</v>
      </c>
      <c r="L526" s="50">
        <f t="shared" ref="L526:L589" si="9">I526*(J526/10)^2*0.617*K526/1000</f>
        <v>64.9501092</v>
      </c>
      <c r="M526" s="189">
        <f>(2*F528+E528)*G528/10^6</f>
        <v>7.5</v>
      </c>
      <c r="N526" s="189">
        <f>PRODUCT(E528:G532)/10^9</f>
        <v>0.75</v>
      </c>
      <c r="O526" s="189">
        <f>SUM(L526:L532)</f>
        <v>264.60045000000002</v>
      </c>
      <c r="P526" s="189">
        <v>3</v>
      </c>
      <c r="Q526" s="189">
        <v>1</v>
      </c>
    </row>
    <row r="527" spans="2:17" x14ac:dyDescent="0.15">
      <c r="B527" s="208"/>
      <c r="C527" s="209"/>
      <c r="D527" s="189"/>
      <c r="E527" s="189"/>
      <c r="F527" s="189"/>
      <c r="G527" s="189"/>
      <c r="H527" s="50" t="s">
        <v>100</v>
      </c>
      <c r="I527" s="50">
        <v>4</v>
      </c>
      <c r="J527" s="50">
        <v>16</v>
      </c>
      <c r="K527" s="49">
        <f>IF(F528&gt;=450,F526+2*IF((MAX(柱工程量计算!$E$3:$F$72)-$E$3)&gt;$D$3*J527,MAX($D$3*J527,0.5*MAX(柱工程量计算!$E$3:$F$72)+5*J527),MAX($D$3*J527,0.4*$D$3*J527+15*J527)),F526+15*J527)</f>
        <v>16140</v>
      </c>
      <c r="L527" s="50">
        <f t="shared" si="9"/>
        <v>101.97381120000001</v>
      </c>
      <c r="M527" s="189"/>
      <c r="N527" s="189"/>
      <c r="O527" s="189"/>
      <c r="P527" s="189"/>
      <c r="Q527" s="189"/>
    </row>
    <row r="528" spans="2:17" x14ac:dyDescent="0.15">
      <c r="B528" s="208"/>
      <c r="C528" s="209"/>
      <c r="D528" s="209">
        <v>4</v>
      </c>
      <c r="E528" s="209">
        <v>250</v>
      </c>
      <c r="F528" s="189">
        <v>500</v>
      </c>
      <c r="G528" s="189">
        <v>6000</v>
      </c>
      <c r="H528" s="50" t="s">
        <v>155</v>
      </c>
      <c r="I528" s="50">
        <v>3</v>
      </c>
      <c r="J528" s="50">
        <v>18</v>
      </c>
      <c r="K528" s="49">
        <f>G528/3+MAX($D$3*J528,0.4*$D$3*J528+15*J528,MAX(柱工程量计算!$E$3:$F$72)-$E$3+15*J528)</f>
        <v>2840</v>
      </c>
      <c r="L528" s="50">
        <f t="shared" si="9"/>
        <v>17.032161600000002</v>
      </c>
      <c r="M528" s="189"/>
      <c r="N528" s="189"/>
      <c r="O528" s="189"/>
      <c r="P528" s="189"/>
      <c r="Q528" s="189"/>
    </row>
    <row r="529" spans="2:17" x14ac:dyDescent="0.15">
      <c r="B529" s="208"/>
      <c r="C529" s="209"/>
      <c r="D529" s="209"/>
      <c r="E529" s="209"/>
      <c r="F529" s="189"/>
      <c r="G529" s="189"/>
      <c r="H529" s="50" t="s">
        <v>146</v>
      </c>
      <c r="I529" s="50">
        <v>2</v>
      </c>
      <c r="J529" s="50">
        <v>18</v>
      </c>
      <c r="K529" s="49">
        <f>G528/3+MAX($D$3*J529,0.4*$D$3*J529+15*J529,MAX(柱工程量计算!$E$3:$F$72)-$E$3+15*J529)</f>
        <v>2840</v>
      </c>
      <c r="L529" s="50">
        <f t="shared" si="9"/>
        <v>11.3547744</v>
      </c>
      <c r="M529" s="189"/>
      <c r="N529" s="189"/>
      <c r="O529" s="189"/>
      <c r="P529" s="189"/>
      <c r="Q529" s="189"/>
    </row>
    <row r="530" spans="2:17" x14ac:dyDescent="0.15">
      <c r="B530" s="208"/>
      <c r="C530" s="209"/>
      <c r="D530" s="209"/>
      <c r="E530" s="209"/>
      <c r="F530" s="189"/>
      <c r="G530" s="189"/>
      <c r="H530" s="50" t="s">
        <v>113</v>
      </c>
      <c r="I530" s="50">
        <v>1</v>
      </c>
      <c r="J530" s="50">
        <v>16</v>
      </c>
      <c r="K530" s="49">
        <f>G528/4+MAX($D$3*J530,0.4*$D$3*J530+15*J530,MAX(柱工程量计算!$E$3:$F$72)-$E$3+15*J530)</f>
        <v>2310</v>
      </c>
      <c r="L530" s="50">
        <f t="shared" si="9"/>
        <v>3.6486912000000005</v>
      </c>
      <c r="M530" s="189"/>
      <c r="N530" s="189"/>
      <c r="O530" s="189"/>
      <c r="P530" s="189"/>
      <c r="Q530" s="189"/>
    </row>
    <row r="531" spans="2:17" x14ac:dyDescent="0.15">
      <c r="B531" s="208"/>
      <c r="C531" s="209"/>
      <c r="D531" s="209"/>
      <c r="E531" s="209"/>
      <c r="F531" s="189"/>
      <c r="G531" s="189"/>
      <c r="H531" s="50" t="s">
        <v>121</v>
      </c>
      <c r="I531" s="50">
        <v>4</v>
      </c>
      <c r="J531" s="50">
        <v>16</v>
      </c>
      <c r="K531" s="49">
        <f>G528+2*IF((MAX(柱工程量计算!$E$3:$F$72)-$E$3)&gt;$D$3*J531,MAX($D$3*J531,0.5*MAX(柱工程量计算!$E$3:$F$72)+5*J531),MAX($D$3*J531,0.4*$D$3*J531+15*J531))</f>
        <v>6840</v>
      </c>
      <c r="L531" s="50">
        <f t="shared" si="9"/>
        <v>43.215667200000006</v>
      </c>
      <c r="M531" s="189"/>
      <c r="N531" s="189"/>
      <c r="O531" s="189"/>
      <c r="P531" s="189"/>
      <c r="Q531" s="189"/>
    </row>
    <row r="532" spans="2:17" x14ac:dyDescent="0.15">
      <c r="B532" s="208"/>
      <c r="C532" s="209"/>
      <c r="D532" s="209"/>
      <c r="E532" s="209"/>
      <c r="F532" s="189"/>
      <c r="G532" s="189"/>
      <c r="H532" s="50" t="s">
        <v>108</v>
      </c>
      <c r="I532" s="50">
        <f>2*((IF(B526="一级",MAX(2*F528,500),MAX(1.5*F528,500))-50)/100+1)+(G528-2*IF(B526="一级",MAX(2*F528,500),MAX(1.5*F528,500)))/200-1</f>
        <v>37.5</v>
      </c>
      <c r="J532" s="50">
        <v>8</v>
      </c>
      <c r="K532" s="50">
        <f>(E528-2*$E$3+2*J532)*2+(F528-2*$E$3+2*J532)*2+2*1.9*J532+2*MAX(10*J532,75)</f>
        <v>1514.4</v>
      </c>
      <c r="L532" s="50">
        <f t="shared" si="9"/>
        <v>22.425235200000003</v>
      </c>
      <c r="M532" s="189"/>
      <c r="N532" s="189"/>
      <c r="O532" s="189"/>
      <c r="P532" s="189"/>
      <c r="Q532" s="189"/>
    </row>
    <row r="533" spans="2:17" x14ac:dyDescent="0.15">
      <c r="B533" s="208"/>
      <c r="C533" s="209"/>
      <c r="D533" s="209">
        <v>4</v>
      </c>
      <c r="E533" s="209">
        <v>300</v>
      </c>
      <c r="F533" s="189">
        <v>350</v>
      </c>
      <c r="G533" s="189">
        <v>2100</v>
      </c>
      <c r="H533" s="50" t="s">
        <v>105</v>
      </c>
      <c r="I533" s="50">
        <v>3</v>
      </c>
      <c r="J533" s="50">
        <v>14</v>
      </c>
      <c r="K533" s="49">
        <f>G533-G533/3*2+150*2</f>
        <v>1000</v>
      </c>
      <c r="L533" s="50">
        <f t="shared" si="9"/>
        <v>3.6279599999999994</v>
      </c>
      <c r="M533" s="189">
        <f>(2*F533+E533)*G533/10^6</f>
        <v>2.1</v>
      </c>
      <c r="N533" s="189">
        <f>PRODUCT(E533:G537)/10^9</f>
        <v>0.2205</v>
      </c>
      <c r="O533" s="189">
        <f>SUM(L533:L537)</f>
        <v>30.761391250823529</v>
      </c>
      <c r="P533" s="189">
        <v>3</v>
      </c>
      <c r="Q533" s="189">
        <v>1</v>
      </c>
    </row>
    <row r="534" spans="2:17" x14ac:dyDescent="0.15">
      <c r="B534" s="208"/>
      <c r="C534" s="209"/>
      <c r="D534" s="209"/>
      <c r="E534" s="209"/>
      <c r="F534" s="189"/>
      <c r="G534" s="189"/>
      <c r="H534" s="50" t="s">
        <v>95</v>
      </c>
      <c r="I534" s="50">
        <v>3</v>
      </c>
      <c r="J534" s="50">
        <v>14</v>
      </c>
      <c r="K534" s="49">
        <f>G533/3+MAX($D$3*J534,0.4*$D$3*J534+15*J534,MAX(柱工程量计算!$E$3:$F$72)-$E$3+15*J534)</f>
        <v>1480</v>
      </c>
      <c r="L534" s="50">
        <f t="shared" si="9"/>
        <v>5.3693807999999992</v>
      </c>
      <c r="M534" s="189"/>
      <c r="N534" s="189"/>
      <c r="O534" s="189"/>
      <c r="P534" s="189"/>
      <c r="Q534" s="189"/>
    </row>
    <row r="535" spans="2:17" x14ac:dyDescent="0.15">
      <c r="B535" s="208"/>
      <c r="C535" s="209"/>
      <c r="D535" s="209"/>
      <c r="E535" s="209"/>
      <c r="F535" s="189"/>
      <c r="G535" s="189"/>
      <c r="H535" s="50" t="s">
        <v>98</v>
      </c>
      <c r="I535" s="50">
        <v>3</v>
      </c>
      <c r="J535" s="50">
        <v>14</v>
      </c>
      <c r="K535" s="49">
        <f>G533/3+MAX($D$3*J535,0.4*$D$3*J535+15*J535,MAX(柱工程量计算!$E$3:$F$72)-$E$3+15*J535)</f>
        <v>1480</v>
      </c>
      <c r="L535" s="50">
        <f t="shared" si="9"/>
        <v>5.3693807999999992</v>
      </c>
      <c r="M535" s="189"/>
      <c r="N535" s="189"/>
      <c r="O535" s="189"/>
      <c r="P535" s="189"/>
      <c r="Q535" s="189"/>
    </row>
    <row r="536" spans="2:17" x14ac:dyDescent="0.15">
      <c r="B536" s="208"/>
      <c r="C536" s="209"/>
      <c r="D536" s="209"/>
      <c r="E536" s="209"/>
      <c r="F536" s="189"/>
      <c r="G536" s="189"/>
      <c r="H536" s="50" t="s">
        <v>116</v>
      </c>
      <c r="I536" s="50">
        <v>2</v>
      </c>
      <c r="J536" s="50">
        <v>14</v>
      </c>
      <c r="K536" s="49">
        <f>G533+2*IF((MAX(柱工程量计算!$E$3:$F$72)-$E$3)&gt;$D$3*J536,MAX($D$3*J536,0.5*MAX(柱工程量计算!$E$3:$F$72)+5*J536),MAX($D$3*J536,0.4*$D$3*J536+15*J536))</f>
        <v>2840</v>
      </c>
      <c r="L536" s="50">
        <f t="shared" si="9"/>
        <v>6.868937599999998</v>
      </c>
      <c r="M536" s="189"/>
      <c r="N536" s="189"/>
      <c r="O536" s="189"/>
      <c r="P536" s="189"/>
      <c r="Q536" s="189"/>
    </row>
    <row r="537" spans="2:17" x14ac:dyDescent="0.15">
      <c r="B537" s="208"/>
      <c r="C537" s="209"/>
      <c r="D537" s="209"/>
      <c r="E537" s="209"/>
      <c r="F537" s="189"/>
      <c r="G537" s="189"/>
      <c r="H537" s="50" t="s">
        <v>108</v>
      </c>
      <c r="I537" s="50">
        <f>2*((IF($B$3="一级",MAX(2*F533,500),MAX(1.5*F533,500))-50)/85+1)+(G533-2*IF($B$3="一级",MAX(2*F533,500),MAX(1.5*F533,500)))/170-1</f>
        <v>18.352941176470587</v>
      </c>
      <c r="J537" s="50">
        <v>8</v>
      </c>
      <c r="K537" s="50">
        <f>(E533-2*$E$3+2*J537)*2+(F533-2*$E$3+2*J537)*2+2*1.9*J537+2*MAX(10*J537,75)</f>
        <v>1314.4</v>
      </c>
      <c r="L537" s="50">
        <f t="shared" si="9"/>
        <v>9.5257320508235317</v>
      </c>
      <c r="M537" s="189"/>
      <c r="N537" s="189"/>
      <c r="O537" s="189"/>
      <c r="P537" s="189"/>
      <c r="Q537" s="189"/>
    </row>
    <row r="538" spans="2:17" x14ac:dyDescent="0.15">
      <c r="B538" s="208"/>
      <c r="C538" s="209"/>
      <c r="D538" s="209">
        <v>4</v>
      </c>
      <c r="E538" s="209">
        <v>250</v>
      </c>
      <c r="F538" s="189">
        <v>500</v>
      </c>
      <c r="G538" s="189">
        <v>6000</v>
      </c>
      <c r="H538" s="50" t="s">
        <v>111</v>
      </c>
      <c r="I538" s="50">
        <v>2</v>
      </c>
      <c r="J538" s="50">
        <v>18</v>
      </c>
      <c r="K538" s="49">
        <f>G538/3+MAX($D$3*J538,0.4*$D$3*J538+15*J538,MAX(柱工程量计算!$E$3:$F$72)-$E$3+15*J538)</f>
        <v>2840</v>
      </c>
      <c r="L538" s="50">
        <f t="shared" si="9"/>
        <v>11.3547744</v>
      </c>
      <c r="M538" s="189">
        <f>(2*F538+E538)*G538/10^6</f>
        <v>7.5</v>
      </c>
      <c r="N538" s="189">
        <f>PRODUCT(E538:G542)/10^9</f>
        <v>0.75</v>
      </c>
      <c r="O538" s="189">
        <f>SUM(L538:L542)</f>
        <v>98.46628960000001</v>
      </c>
      <c r="P538" s="189">
        <v>3</v>
      </c>
      <c r="Q538" s="189">
        <v>1</v>
      </c>
    </row>
    <row r="539" spans="2:17" x14ac:dyDescent="0.15">
      <c r="B539" s="208"/>
      <c r="C539" s="209"/>
      <c r="D539" s="209"/>
      <c r="E539" s="209"/>
      <c r="F539" s="189"/>
      <c r="G539" s="189"/>
      <c r="H539" s="50" t="s">
        <v>110</v>
      </c>
      <c r="I539" s="50">
        <v>1</v>
      </c>
      <c r="J539" s="50">
        <v>16</v>
      </c>
      <c r="K539" s="49">
        <f>G538/3+MAX($D$3*J539,0.4*$D$3*J539+15*J539,MAX(柱工程量计算!$E$3:$F$72)-$E$3+15*J539)</f>
        <v>2810</v>
      </c>
      <c r="L539" s="50">
        <f t="shared" si="9"/>
        <v>4.4384512000000003</v>
      </c>
      <c r="M539" s="189"/>
      <c r="N539" s="189"/>
      <c r="O539" s="189"/>
      <c r="P539" s="189"/>
      <c r="Q539" s="189"/>
    </row>
    <row r="540" spans="2:17" x14ac:dyDescent="0.15">
      <c r="B540" s="208"/>
      <c r="C540" s="209"/>
      <c r="D540" s="209"/>
      <c r="E540" s="209"/>
      <c r="F540" s="189"/>
      <c r="G540" s="189"/>
      <c r="H540" s="50" t="s">
        <v>156</v>
      </c>
      <c r="I540" s="50">
        <v>3</v>
      </c>
      <c r="J540" s="50">
        <v>18</v>
      </c>
      <c r="K540" s="49">
        <f>G538/3+MAX($D$3*J540,0.4*$D$3*J540+15*J540,MAX(柱工程量计算!$E$3:$F$72)-$E$3+15*J540)</f>
        <v>2840</v>
      </c>
      <c r="L540" s="50">
        <f t="shared" si="9"/>
        <v>17.032161600000002</v>
      </c>
      <c r="M540" s="189"/>
      <c r="N540" s="189"/>
      <c r="O540" s="189"/>
      <c r="P540" s="189"/>
      <c r="Q540" s="189"/>
    </row>
    <row r="541" spans="2:17" x14ac:dyDescent="0.15">
      <c r="B541" s="208"/>
      <c r="C541" s="209"/>
      <c r="D541" s="209"/>
      <c r="E541" s="209"/>
      <c r="F541" s="189"/>
      <c r="G541" s="189"/>
      <c r="H541" s="50" t="s">
        <v>115</v>
      </c>
      <c r="I541" s="50">
        <v>4</v>
      </c>
      <c r="J541" s="50">
        <v>16</v>
      </c>
      <c r="K541" s="49">
        <f>G538+2*IF((MAX(柱工程量计算!$E$3:$F$72)-$E$3)&gt;$D$3*J541,MAX($D$3*J541,0.5*MAX(柱工程量计算!$E$3:$F$72)+5*J541),MAX($D$3*J541,0.4*$D$3*J541+15*J541))</f>
        <v>6840</v>
      </c>
      <c r="L541" s="50">
        <f t="shared" si="9"/>
        <v>43.215667200000006</v>
      </c>
      <c r="M541" s="189"/>
      <c r="N541" s="189"/>
      <c r="O541" s="189"/>
      <c r="P541" s="189"/>
      <c r="Q541" s="189"/>
    </row>
    <row r="542" spans="2:17" x14ac:dyDescent="0.15">
      <c r="B542" s="208"/>
      <c r="C542" s="209"/>
      <c r="D542" s="209"/>
      <c r="E542" s="209"/>
      <c r="F542" s="189"/>
      <c r="G542" s="189"/>
      <c r="H542" s="50" t="s">
        <v>108</v>
      </c>
      <c r="I542" s="50">
        <f>2*((IF($B$3="一级",MAX(2*F538,500),MAX(1.5*F538,500))-50)/100+1)+(G538-2*IF($B$3="一级",MAX(2*F538,500),MAX(1.5*F538,500)))/200-1</f>
        <v>37.5</v>
      </c>
      <c r="J542" s="50">
        <v>8</v>
      </c>
      <c r="K542" s="50">
        <f>(E538-2*$E$3+2*J542)*2+(F538-2*$E$3+2*J542)*2+2*1.9*J542+2*MAX(10*J542,75)</f>
        <v>1514.4</v>
      </c>
      <c r="L542" s="50">
        <f t="shared" si="9"/>
        <v>22.425235200000003</v>
      </c>
      <c r="M542" s="189"/>
      <c r="N542" s="189"/>
      <c r="O542" s="189"/>
      <c r="P542" s="189"/>
      <c r="Q542" s="189"/>
    </row>
    <row r="543" spans="2:17" x14ac:dyDescent="0.15">
      <c r="B543" s="208"/>
      <c r="C543" s="209" t="s">
        <v>157</v>
      </c>
      <c r="D543" s="189" t="s">
        <v>106</v>
      </c>
      <c r="E543" s="189"/>
      <c r="F543" s="189">
        <v>15300</v>
      </c>
      <c r="G543" s="189"/>
      <c r="H543" s="50" t="s">
        <v>103</v>
      </c>
      <c r="I543" s="50">
        <v>2</v>
      </c>
      <c r="J543" s="50">
        <v>18</v>
      </c>
      <c r="K543" s="49">
        <f>F543+2*IF((MAX(柱工程量计算!$E$3:$F$72)-$E$3)&gt;$D$3*J543,MAX($D$3*J543,0.5*MAX(柱工程量计算!$E$3:$F$72)+5*J543,MAX($D$3*J543,0.4*$D$3*J543+15*J543)))</f>
        <v>16245</v>
      </c>
      <c r="L543" s="50">
        <f t="shared" si="9"/>
        <v>64.9501092</v>
      </c>
      <c r="M543" s="189">
        <f>(2*F545+E545)*G545/10^6</f>
        <v>7.5</v>
      </c>
      <c r="N543" s="189">
        <f>PRODUCT(E545:G549)/10^9</f>
        <v>0.75</v>
      </c>
      <c r="O543" s="189">
        <f>SUM(L543:L549)</f>
        <v>264.60045000000002</v>
      </c>
      <c r="P543" s="203"/>
      <c r="Q543" s="203">
        <v>1</v>
      </c>
    </row>
    <row r="544" spans="2:17" x14ac:dyDescent="0.15">
      <c r="B544" s="208"/>
      <c r="C544" s="209"/>
      <c r="D544" s="189"/>
      <c r="E544" s="189"/>
      <c r="F544" s="189"/>
      <c r="G544" s="189"/>
      <c r="H544" s="50" t="s">
        <v>100</v>
      </c>
      <c r="I544" s="50">
        <v>4</v>
      </c>
      <c r="J544" s="50">
        <v>16</v>
      </c>
      <c r="K544" s="49">
        <f>IF(F545&gt;=450,F543+2*IF((MAX(柱工程量计算!$E$3:$F$72)-$E$3)&gt;$D$3*J544,MAX($D$3*J544,0.5*MAX(柱工程量计算!$E$3:$F$72)+5*J544),MAX($D$3*J544,0.4*$D$3*J544+15*J544)),F543+15*J544)</f>
        <v>16140</v>
      </c>
      <c r="L544" s="50">
        <f t="shared" si="9"/>
        <v>101.97381120000001</v>
      </c>
      <c r="M544" s="189"/>
      <c r="N544" s="189"/>
      <c r="O544" s="189"/>
      <c r="P544" s="201"/>
      <c r="Q544" s="201"/>
    </row>
    <row r="545" spans="2:17" x14ac:dyDescent="0.15">
      <c r="B545" s="208"/>
      <c r="C545" s="209"/>
      <c r="D545" s="209">
        <v>1</v>
      </c>
      <c r="E545" s="209">
        <v>250</v>
      </c>
      <c r="F545" s="189">
        <v>500</v>
      </c>
      <c r="G545" s="189">
        <v>6000</v>
      </c>
      <c r="H545" s="50" t="s">
        <v>155</v>
      </c>
      <c r="I545" s="50">
        <v>3</v>
      </c>
      <c r="J545" s="50">
        <v>18</v>
      </c>
      <c r="K545" s="49">
        <f>G545/3+MAX($D$3*J545,0.4*$D$3*J545+15*J545,MAX(柱工程量计算!$E$3:$F$72)-$E$3+15*J545)</f>
        <v>2840</v>
      </c>
      <c r="L545" s="50">
        <f t="shared" si="9"/>
        <v>17.032161600000002</v>
      </c>
      <c r="M545" s="189"/>
      <c r="N545" s="189"/>
      <c r="O545" s="189"/>
      <c r="P545" s="201"/>
      <c r="Q545" s="201"/>
    </row>
    <row r="546" spans="2:17" x14ac:dyDescent="0.15">
      <c r="B546" s="208"/>
      <c r="C546" s="209"/>
      <c r="D546" s="209"/>
      <c r="E546" s="209"/>
      <c r="F546" s="189"/>
      <c r="G546" s="189"/>
      <c r="H546" s="50" t="s">
        <v>146</v>
      </c>
      <c r="I546" s="50">
        <v>2</v>
      </c>
      <c r="J546" s="50">
        <v>18</v>
      </c>
      <c r="K546" s="49">
        <f>G545/3+MAX($D$3*J546,0.4*$D$3*J546+15*J546,MAX(柱工程量计算!$E$3:$F$72)-$E$3+15*J546)</f>
        <v>2840</v>
      </c>
      <c r="L546" s="50">
        <f t="shared" si="9"/>
        <v>11.3547744</v>
      </c>
      <c r="M546" s="189"/>
      <c r="N546" s="189"/>
      <c r="O546" s="189"/>
      <c r="P546" s="201"/>
      <c r="Q546" s="201"/>
    </row>
    <row r="547" spans="2:17" x14ac:dyDescent="0.15">
      <c r="B547" s="208"/>
      <c r="C547" s="209"/>
      <c r="D547" s="209"/>
      <c r="E547" s="209"/>
      <c r="F547" s="189"/>
      <c r="G547" s="189"/>
      <c r="H547" s="50" t="s">
        <v>113</v>
      </c>
      <c r="I547" s="50">
        <v>1</v>
      </c>
      <c r="J547" s="50">
        <v>16</v>
      </c>
      <c r="K547" s="49">
        <f>G545/4+MAX($D$3*J547,0.4*$D$3*J547+15*J547,MAX(柱工程量计算!$E$3:$F$72)-$E$3+15*J547)</f>
        <v>2310</v>
      </c>
      <c r="L547" s="50">
        <f t="shared" si="9"/>
        <v>3.6486912000000005</v>
      </c>
      <c r="M547" s="189"/>
      <c r="N547" s="189"/>
      <c r="O547" s="189"/>
      <c r="P547" s="201"/>
      <c r="Q547" s="201"/>
    </row>
    <row r="548" spans="2:17" x14ac:dyDescent="0.15">
      <c r="B548" s="208"/>
      <c r="C548" s="209"/>
      <c r="D548" s="209"/>
      <c r="E548" s="209"/>
      <c r="F548" s="189"/>
      <c r="G548" s="189"/>
      <c r="H548" s="50" t="s">
        <v>152</v>
      </c>
      <c r="I548" s="50">
        <v>4</v>
      </c>
      <c r="J548" s="50">
        <v>16</v>
      </c>
      <c r="K548" s="49">
        <f>G545+2*IF((MAX(柱工程量计算!$E$3:$F$72)-$E$3)&gt;$D$3*J548,MAX($D$3*J548,0.5*MAX(柱工程量计算!$E$3:$F$72)+5*J548),MAX($D$3*J548,0.4*$D$3*J548+15*J548))</f>
        <v>6840</v>
      </c>
      <c r="L548" s="50">
        <f t="shared" si="9"/>
        <v>43.215667200000006</v>
      </c>
      <c r="M548" s="189"/>
      <c r="N548" s="189"/>
      <c r="O548" s="189"/>
      <c r="P548" s="201"/>
      <c r="Q548" s="201"/>
    </row>
    <row r="549" spans="2:17" x14ac:dyDescent="0.15">
      <c r="B549" s="208"/>
      <c r="C549" s="209"/>
      <c r="D549" s="209"/>
      <c r="E549" s="209"/>
      <c r="F549" s="189"/>
      <c r="G549" s="189"/>
      <c r="H549" s="50" t="s">
        <v>108</v>
      </c>
      <c r="I549" s="50">
        <f>2*((IF(B543="一级",MAX(2*F545,500),MAX(1.5*F545,500))-50)/100+1)+(G545-2*IF(B543="一级",MAX(2*F545,500),MAX(1.5*F545,500)))/200-1</f>
        <v>37.5</v>
      </c>
      <c r="J549" s="50">
        <v>8</v>
      </c>
      <c r="K549" s="50">
        <f>(E545-2*$E$3+2*J549)*2+(F545-2*$E$3+2*J549)*2+2*1.9*J549+2*MAX(10*J549,75)</f>
        <v>1514.4</v>
      </c>
      <c r="L549" s="50">
        <f t="shared" si="9"/>
        <v>22.425235200000003</v>
      </c>
      <c r="M549" s="189"/>
      <c r="N549" s="189"/>
      <c r="O549" s="189"/>
      <c r="P549" s="202"/>
      <c r="Q549" s="202"/>
    </row>
    <row r="550" spans="2:17" x14ac:dyDescent="0.15">
      <c r="B550" s="208"/>
      <c r="C550" s="209"/>
      <c r="D550" s="209">
        <v>1</v>
      </c>
      <c r="E550" s="209">
        <v>300</v>
      </c>
      <c r="F550" s="189">
        <v>350</v>
      </c>
      <c r="G550" s="189">
        <v>2100</v>
      </c>
      <c r="H550" s="50" t="s">
        <v>95</v>
      </c>
      <c r="I550" s="50">
        <v>2</v>
      </c>
      <c r="J550" s="50">
        <v>18</v>
      </c>
      <c r="K550" s="49">
        <f>G550/3+MAX($D$3*J550,0.4*$D$3*J550+15*J550,MAX(柱工程量计算!$E$3:$F$72)-$E$3+15*J550)</f>
        <v>1540</v>
      </c>
      <c r="L550" s="50">
        <f t="shared" si="9"/>
        <v>6.1571664000000013</v>
      </c>
      <c r="M550" s="189">
        <f>(2*F550+E550)*G550/10^6</f>
        <v>2.1</v>
      </c>
      <c r="N550" s="189">
        <f>PRODUCT(E550:G553)/10^9</f>
        <v>0.2205</v>
      </c>
      <c r="O550" s="189">
        <f>SUM(L550:L553)</f>
        <v>28.709002450823533</v>
      </c>
      <c r="P550" s="189"/>
      <c r="Q550" s="189">
        <v>1</v>
      </c>
    </row>
    <row r="551" spans="2:17" x14ac:dyDescent="0.15">
      <c r="B551" s="208"/>
      <c r="C551" s="209"/>
      <c r="D551" s="209"/>
      <c r="E551" s="209"/>
      <c r="F551" s="189"/>
      <c r="G551" s="189"/>
      <c r="H551" s="50" t="s">
        <v>98</v>
      </c>
      <c r="I551" s="50">
        <v>2</v>
      </c>
      <c r="J551" s="50">
        <v>18</v>
      </c>
      <c r="K551" s="49">
        <f>G550/3+MAX($D$3*J551,0.4*$D$3*J551+15*J551,MAX(柱工程量计算!$E$3:$F$72)-$E$3+15*J551)</f>
        <v>1540</v>
      </c>
      <c r="L551" s="50">
        <f t="shared" si="9"/>
        <v>6.1571664000000013</v>
      </c>
      <c r="M551" s="189"/>
      <c r="N551" s="189"/>
      <c r="O551" s="189"/>
      <c r="P551" s="189"/>
      <c r="Q551" s="189"/>
    </row>
    <row r="552" spans="2:17" x14ac:dyDescent="0.15">
      <c r="B552" s="208"/>
      <c r="C552" s="209"/>
      <c r="D552" s="209"/>
      <c r="E552" s="209"/>
      <c r="F552" s="189"/>
      <c r="G552" s="189"/>
      <c r="H552" s="50" t="s">
        <v>116</v>
      </c>
      <c r="I552" s="50">
        <v>2</v>
      </c>
      <c r="J552" s="50">
        <v>14</v>
      </c>
      <c r="K552" s="49">
        <f>G550+2*IF((MAX(柱工程量计算!$E$3:$F$72)-$E$3)&gt;$D$3*J552,MAX($D$3*J552,0.5*MAX(柱工程量计算!$E$3:$F$72)+5*J552),MAX($D$3*J552,0.4*$D$3*J552+15*J552))</f>
        <v>2840</v>
      </c>
      <c r="L552" s="50">
        <f t="shared" si="9"/>
        <v>6.868937599999998</v>
      </c>
      <c r="M552" s="189"/>
      <c r="N552" s="189"/>
      <c r="O552" s="189"/>
      <c r="P552" s="189"/>
      <c r="Q552" s="189"/>
    </row>
    <row r="553" spans="2:17" x14ac:dyDescent="0.15">
      <c r="B553" s="208"/>
      <c r="C553" s="209"/>
      <c r="D553" s="209"/>
      <c r="E553" s="209"/>
      <c r="F553" s="189"/>
      <c r="G553" s="189"/>
      <c r="H553" s="50" t="s">
        <v>108</v>
      </c>
      <c r="I553" s="50">
        <f>2*((IF($B$3="一级",MAX(2*F550,500),MAX(1.5*F550,500))-50)/85+1)+(G550-2*IF($B$3="一级",MAX(2*F550,500),MAX(1.5*F550,500)))/170-1</f>
        <v>18.352941176470587</v>
      </c>
      <c r="J553" s="50">
        <v>8</v>
      </c>
      <c r="K553" s="50">
        <f>(E550-2*$E$3+2*J553)*2+(F550-2*$E$3+2*J553)*2+2*1.9*J553+2*MAX(10*J553,75)</f>
        <v>1314.4</v>
      </c>
      <c r="L553" s="50">
        <f t="shared" si="9"/>
        <v>9.5257320508235317</v>
      </c>
      <c r="M553" s="189"/>
      <c r="N553" s="189"/>
      <c r="O553" s="189"/>
      <c r="P553" s="189"/>
      <c r="Q553" s="189"/>
    </row>
    <row r="554" spans="2:17" x14ac:dyDescent="0.15">
      <c r="B554" s="208"/>
      <c r="C554" s="209"/>
      <c r="D554" s="209">
        <v>1</v>
      </c>
      <c r="E554" s="209">
        <v>250</v>
      </c>
      <c r="F554" s="189">
        <v>500</v>
      </c>
      <c r="G554" s="189">
        <v>6000</v>
      </c>
      <c r="H554" s="50" t="s">
        <v>155</v>
      </c>
      <c r="I554" s="50">
        <v>2</v>
      </c>
      <c r="J554" s="50">
        <v>18</v>
      </c>
      <c r="K554" s="49">
        <f>G554/3+MAX($D$3*J554,0.4*$D$3*J554+15*J554,MAX(柱工程量计算!$E$3:$F$72)-$E$3+15*J554)</f>
        <v>2840</v>
      </c>
      <c r="L554" s="50">
        <f t="shared" si="9"/>
        <v>11.3547744</v>
      </c>
      <c r="M554" s="189">
        <f>(2*F554+E554)*G554/10^6</f>
        <v>7.5</v>
      </c>
      <c r="N554" s="189">
        <f>PRODUCT(E554:G558)/10^9</f>
        <v>0.75</v>
      </c>
      <c r="O554" s="189">
        <f>SUM(L554:L558)</f>
        <v>98.46628960000001</v>
      </c>
      <c r="P554" s="189"/>
      <c r="Q554" s="189">
        <v>1</v>
      </c>
    </row>
    <row r="555" spans="2:17" x14ac:dyDescent="0.15">
      <c r="B555" s="208"/>
      <c r="C555" s="209"/>
      <c r="D555" s="209"/>
      <c r="E555" s="209"/>
      <c r="F555" s="189"/>
      <c r="G555" s="189"/>
      <c r="H555" s="50" t="s">
        <v>110</v>
      </c>
      <c r="I555" s="50">
        <v>1</v>
      </c>
      <c r="J555" s="50">
        <v>16</v>
      </c>
      <c r="K555" s="49">
        <f>G554/3+MAX($D$3*J555,0.4*$D$3*J555+15*J555,MAX(柱工程量计算!$E$3:$F$72)-$E$3+15*J555)</f>
        <v>2810</v>
      </c>
      <c r="L555" s="50">
        <f t="shared" si="9"/>
        <v>4.4384512000000003</v>
      </c>
      <c r="M555" s="189"/>
      <c r="N555" s="189"/>
      <c r="O555" s="189"/>
      <c r="P555" s="189"/>
      <c r="Q555" s="189"/>
    </row>
    <row r="556" spans="2:17" x14ac:dyDescent="0.15">
      <c r="B556" s="208"/>
      <c r="C556" s="209"/>
      <c r="D556" s="209"/>
      <c r="E556" s="209"/>
      <c r="F556" s="189"/>
      <c r="G556" s="189"/>
      <c r="H556" s="50" t="s">
        <v>146</v>
      </c>
      <c r="I556" s="50">
        <v>3</v>
      </c>
      <c r="J556" s="50">
        <v>18</v>
      </c>
      <c r="K556" s="49">
        <f>G554/3+MAX($D$3*J556,0.4*$D$3*J556+15*J556,MAX(柱工程量计算!$E$3:$F$72)-$E$3+15*J556)</f>
        <v>2840</v>
      </c>
      <c r="L556" s="50">
        <f t="shared" si="9"/>
        <v>17.032161600000002</v>
      </c>
      <c r="M556" s="189"/>
      <c r="N556" s="189"/>
      <c r="O556" s="189"/>
      <c r="P556" s="189"/>
      <c r="Q556" s="189"/>
    </row>
    <row r="557" spans="2:17" x14ac:dyDescent="0.15">
      <c r="B557" s="208"/>
      <c r="C557" s="209"/>
      <c r="D557" s="209"/>
      <c r="E557" s="209"/>
      <c r="F557" s="189"/>
      <c r="G557" s="189"/>
      <c r="H557" s="50" t="s">
        <v>115</v>
      </c>
      <c r="I557" s="50">
        <v>4</v>
      </c>
      <c r="J557" s="50">
        <v>16</v>
      </c>
      <c r="K557" s="49">
        <f>G554+2*IF((MAX(柱工程量计算!$E$3:$F$72)-$E$3)&gt;$D$3*J557,MAX($D$3*J557,0.5*MAX(柱工程量计算!$E$3:$F$72)+5*J557),MAX($D$3*J557,0.4*$D$3*J557+15*J557))</f>
        <v>6840</v>
      </c>
      <c r="L557" s="50">
        <f t="shared" si="9"/>
        <v>43.215667200000006</v>
      </c>
      <c r="M557" s="189"/>
      <c r="N557" s="189"/>
      <c r="O557" s="189"/>
      <c r="P557" s="189"/>
      <c r="Q557" s="189"/>
    </row>
    <row r="558" spans="2:17" x14ac:dyDescent="0.15">
      <c r="B558" s="208"/>
      <c r="C558" s="209"/>
      <c r="D558" s="209"/>
      <c r="E558" s="209"/>
      <c r="F558" s="189"/>
      <c r="G558" s="189"/>
      <c r="H558" s="50" t="s">
        <v>108</v>
      </c>
      <c r="I558" s="50">
        <f>2*((IF($B$3="一级",MAX(2*F554,500),MAX(1.5*F554,500))-50)/100+1)+(G554-2*IF($B$3="一级",MAX(2*F554,500),MAX(1.5*F554,500)))/200-1</f>
        <v>37.5</v>
      </c>
      <c r="J558" s="50">
        <v>8</v>
      </c>
      <c r="K558" s="50">
        <f>(E554-2*$E$3+2*J558)*2+(F554-2*$E$3+2*J558)*2+2*1.9*J558+2*MAX(10*J558,75)</f>
        <v>1514.4</v>
      </c>
      <c r="L558" s="50">
        <f t="shared" si="9"/>
        <v>22.425235200000003</v>
      </c>
      <c r="M558" s="189"/>
      <c r="N558" s="189"/>
      <c r="O558" s="189"/>
      <c r="P558" s="189"/>
      <c r="Q558" s="189"/>
    </row>
    <row r="559" spans="2:17" x14ac:dyDescent="0.15">
      <c r="B559" s="208"/>
      <c r="C559" s="209" t="s">
        <v>158</v>
      </c>
      <c r="D559" s="189" t="s">
        <v>106</v>
      </c>
      <c r="E559" s="189"/>
      <c r="F559" s="189">
        <v>15300</v>
      </c>
      <c r="G559" s="189"/>
      <c r="H559" s="50" t="s">
        <v>103</v>
      </c>
      <c r="I559" s="50">
        <v>2</v>
      </c>
      <c r="J559" s="50">
        <v>14</v>
      </c>
      <c r="K559" s="49">
        <f>F559+2*IF((MAX(柱工程量计算!$E$3:$F$72)-$E$3)&gt;$D$3*J559,MAX($D$3*J559,0.5*MAX(柱工程量计算!$E$3:$F$72)+5*J559,MAX($D$3*J559,0.4*$D$3*J559+15*J559)))</f>
        <v>16040</v>
      </c>
      <c r="L559" s="50">
        <f t="shared" si="9"/>
        <v>38.79498559999999</v>
      </c>
      <c r="M559" s="189">
        <f>(2*F561+E561)*G561/10^6</f>
        <v>7.5</v>
      </c>
      <c r="N559" s="189">
        <f>PRODUCT(E561:G564)/10^9</f>
        <v>0.75</v>
      </c>
      <c r="O559" s="189">
        <f>SUM(L559:L564)</f>
        <v>172.81651719999996</v>
      </c>
      <c r="P559" s="189"/>
      <c r="Q559" s="189">
        <v>1</v>
      </c>
    </row>
    <row r="560" spans="2:17" x14ac:dyDescent="0.15">
      <c r="B560" s="208"/>
      <c r="C560" s="209"/>
      <c r="D560" s="189"/>
      <c r="E560" s="189"/>
      <c r="F560" s="189"/>
      <c r="G560" s="189"/>
      <c r="H560" s="50" t="s">
        <v>100</v>
      </c>
      <c r="I560" s="50">
        <v>4</v>
      </c>
      <c r="J560" s="50">
        <v>12</v>
      </c>
      <c r="K560" s="49">
        <f>IF(F561&gt;=450,F559+2*IF((MAX(柱工程量计算!$E$3:$F$72)-$E$3)&gt;$D$3*J560,MAX($D$3*J560,0.5*MAX(柱工程量计算!$E$3:$F$72)+5*J560),MAX($D$3*J560,0.4*$D$3*J560+15*J560)),F559+15*J560)</f>
        <v>16020</v>
      </c>
      <c r="L560" s="50">
        <f t="shared" si="9"/>
        <v>56.933798399999993</v>
      </c>
      <c r="M560" s="189"/>
      <c r="N560" s="189"/>
      <c r="O560" s="189"/>
      <c r="P560" s="189"/>
      <c r="Q560" s="189"/>
    </row>
    <row r="561" spans="2:17" x14ac:dyDescent="0.15">
      <c r="B561" s="208"/>
      <c r="C561" s="209"/>
      <c r="D561" s="209">
        <v>1</v>
      </c>
      <c r="E561" s="209">
        <v>250</v>
      </c>
      <c r="F561" s="189">
        <v>500</v>
      </c>
      <c r="G561" s="189">
        <v>6000</v>
      </c>
      <c r="H561" s="50" t="s">
        <v>155</v>
      </c>
      <c r="I561" s="50">
        <v>4</v>
      </c>
      <c r="J561" s="50">
        <v>14</v>
      </c>
      <c r="K561" s="49">
        <f>G561/3+MAX($D$3*J561,0.4*$D$3*J561+15*J561,MAX(柱工程量计算!$E$3:$F$72)-$E$3+15*J561)</f>
        <v>2780</v>
      </c>
      <c r="L561" s="50">
        <f t="shared" si="9"/>
        <v>13.447638399999995</v>
      </c>
      <c r="M561" s="189"/>
      <c r="N561" s="189"/>
      <c r="O561" s="189"/>
      <c r="P561" s="189"/>
      <c r="Q561" s="189"/>
    </row>
    <row r="562" spans="2:17" x14ac:dyDescent="0.15">
      <c r="B562" s="208"/>
      <c r="C562" s="209"/>
      <c r="D562" s="209"/>
      <c r="E562" s="209"/>
      <c r="F562" s="189"/>
      <c r="G562" s="189"/>
      <c r="H562" s="50" t="s">
        <v>156</v>
      </c>
      <c r="I562" s="50">
        <v>4</v>
      </c>
      <c r="J562" s="50">
        <v>14</v>
      </c>
      <c r="K562" s="49">
        <f>G561/3+MAX($D$3*J562,0.4*$D$3*J562+15*J562,MAX(柱工程量计算!$E$3:$F$72)-$E$3+15*J562)</f>
        <v>2780</v>
      </c>
      <c r="L562" s="50">
        <f t="shared" si="9"/>
        <v>13.447638399999995</v>
      </c>
      <c r="M562" s="189"/>
      <c r="N562" s="189"/>
      <c r="O562" s="189"/>
      <c r="P562" s="189"/>
      <c r="Q562" s="189"/>
    </row>
    <row r="563" spans="2:17" x14ac:dyDescent="0.15">
      <c r="B563" s="208"/>
      <c r="C563" s="209"/>
      <c r="D563" s="209"/>
      <c r="E563" s="209"/>
      <c r="F563" s="189"/>
      <c r="G563" s="189"/>
      <c r="H563" s="50" t="s">
        <v>152</v>
      </c>
      <c r="I563" s="50">
        <v>2</v>
      </c>
      <c r="J563" s="50">
        <v>18</v>
      </c>
      <c r="K563" s="49">
        <f>G561+2*IF((MAX(柱工程量计算!$E$3:$F$72)-$E$3)&gt;$D$3*J563,MAX($D$3*J563,0.5*MAX(柱工程量计算!$E$3:$F$72)+5*J563),MAX($D$3*J563,0.4*$D$3*J563+15*J563))</f>
        <v>6945</v>
      </c>
      <c r="L563" s="50">
        <f t="shared" si="9"/>
        <v>27.767221200000005</v>
      </c>
      <c r="M563" s="189"/>
      <c r="N563" s="189"/>
      <c r="O563" s="189"/>
      <c r="P563" s="189"/>
      <c r="Q563" s="189"/>
    </row>
    <row r="564" spans="2:17" x14ac:dyDescent="0.15">
      <c r="B564" s="208"/>
      <c r="C564" s="209"/>
      <c r="D564" s="209"/>
      <c r="E564" s="209"/>
      <c r="F564" s="189"/>
      <c r="G564" s="189"/>
      <c r="H564" s="50" t="s">
        <v>108</v>
      </c>
      <c r="I564" s="50">
        <f>2*((IF(B559="一级",MAX(2*F561,500),MAX(1.5*F561,500))-50)/100+1)+(G561-2*IF(B559="一级",MAX(2*F561,500),MAX(1.5*F561,500)))/200-1</f>
        <v>37.5</v>
      </c>
      <c r="J564" s="50">
        <v>8</v>
      </c>
      <c r="K564" s="50">
        <f>(E561-2*$E$3+2*J564)*2+(F561-2*$E$3+2*J564)*2+2*1.9*J564+2*MAX(10*J564,75)</f>
        <v>1514.4</v>
      </c>
      <c r="L564" s="50">
        <f t="shared" si="9"/>
        <v>22.425235200000003</v>
      </c>
      <c r="M564" s="189"/>
      <c r="N564" s="189"/>
      <c r="O564" s="189"/>
      <c r="P564" s="189"/>
      <c r="Q564" s="189"/>
    </row>
    <row r="565" spans="2:17" x14ac:dyDescent="0.15">
      <c r="B565" s="208"/>
      <c r="C565" s="209"/>
      <c r="D565" s="209">
        <v>1</v>
      </c>
      <c r="E565" s="209">
        <v>300</v>
      </c>
      <c r="F565" s="189">
        <v>350</v>
      </c>
      <c r="G565" s="189">
        <v>2100</v>
      </c>
      <c r="H565" s="50" t="s">
        <v>105</v>
      </c>
      <c r="I565" s="50">
        <v>3</v>
      </c>
      <c r="J565" s="50">
        <v>14</v>
      </c>
      <c r="K565" s="49">
        <f>G565-G565/3*2+150*2</f>
        <v>1000</v>
      </c>
      <c r="L565" s="50">
        <f t="shared" si="9"/>
        <v>3.6279599999999994</v>
      </c>
      <c r="M565" s="189">
        <f>(2*F565+E565)*G565/10^6</f>
        <v>2.1</v>
      </c>
      <c r="N565" s="189">
        <f>PRODUCT(E565:G569)/10^9</f>
        <v>0.2205</v>
      </c>
      <c r="O565" s="189">
        <f>SUM(L565:L569)</f>
        <v>30.761391250823529</v>
      </c>
      <c r="P565" s="189"/>
      <c r="Q565" s="189">
        <v>1</v>
      </c>
    </row>
    <row r="566" spans="2:17" x14ac:dyDescent="0.15">
      <c r="B566" s="208"/>
      <c r="C566" s="209"/>
      <c r="D566" s="209"/>
      <c r="E566" s="209"/>
      <c r="F566" s="189"/>
      <c r="G566" s="189"/>
      <c r="H566" s="50" t="s">
        <v>95</v>
      </c>
      <c r="I566" s="50">
        <v>3</v>
      </c>
      <c r="J566" s="50">
        <v>14</v>
      </c>
      <c r="K566" s="49">
        <f>G565/3+MAX($D$3*J566,0.4*$D$3*J566+15*J566,MAX(柱工程量计算!$E$3:$F$72)-$E$3+15*J566)</f>
        <v>1480</v>
      </c>
      <c r="L566" s="50">
        <f t="shared" si="9"/>
        <v>5.3693807999999992</v>
      </c>
      <c r="M566" s="189"/>
      <c r="N566" s="189"/>
      <c r="O566" s="189"/>
      <c r="P566" s="189"/>
      <c r="Q566" s="189"/>
    </row>
    <row r="567" spans="2:17" x14ac:dyDescent="0.15">
      <c r="B567" s="208"/>
      <c r="C567" s="209"/>
      <c r="D567" s="209"/>
      <c r="E567" s="209"/>
      <c r="F567" s="189"/>
      <c r="G567" s="189"/>
      <c r="H567" s="50" t="s">
        <v>98</v>
      </c>
      <c r="I567" s="50">
        <v>3</v>
      </c>
      <c r="J567" s="50">
        <v>14</v>
      </c>
      <c r="K567" s="49">
        <f>G565/3+MAX($D$3*J567,0.4*$D$3*J567+15*J567,MAX(柱工程量计算!$E$3:$F$72)-$E$3+15*J567)</f>
        <v>1480</v>
      </c>
      <c r="L567" s="50">
        <f t="shared" si="9"/>
        <v>5.3693807999999992</v>
      </c>
      <c r="M567" s="189"/>
      <c r="N567" s="189"/>
      <c r="O567" s="189"/>
      <c r="P567" s="189"/>
      <c r="Q567" s="189"/>
    </row>
    <row r="568" spans="2:17" x14ac:dyDescent="0.15">
      <c r="B568" s="208"/>
      <c r="C568" s="209"/>
      <c r="D568" s="209"/>
      <c r="E568" s="209"/>
      <c r="F568" s="189"/>
      <c r="G568" s="189"/>
      <c r="H568" s="50" t="s">
        <v>116</v>
      </c>
      <c r="I568" s="50">
        <v>2</v>
      </c>
      <c r="J568" s="50">
        <v>14</v>
      </c>
      <c r="K568" s="49">
        <f>G565+2*IF((MAX(柱工程量计算!$E$3:$F$72)-$E$3)&gt;$D$3*J568,MAX($D$3*J568,0.5*MAX(柱工程量计算!$E$3:$F$72)+5*J568),MAX($D$3*J568,0.4*$D$3*J568+15*J568))</f>
        <v>2840</v>
      </c>
      <c r="L568" s="50">
        <f t="shared" si="9"/>
        <v>6.868937599999998</v>
      </c>
      <c r="M568" s="189"/>
      <c r="N568" s="189"/>
      <c r="O568" s="189"/>
      <c r="P568" s="189"/>
      <c r="Q568" s="189"/>
    </row>
    <row r="569" spans="2:17" x14ac:dyDescent="0.15">
      <c r="B569" s="208"/>
      <c r="C569" s="209"/>
      <c r="D569" s="209"/>
      <c r="E569" s="209"/>
      <c r="F569" s="189"/>
      <c r="G569" s="189"/>
      <c r="H569" s="50" t="s">
        <v>108</v>
      </c>
      <c r="I569" s="50">
        <f>2*((IF($B$3="一级",MAX(2*F565,500),MAX(1.5*F565,500))-50)/85+1)+(G565-2*IF($B$3="一级",MAX(2*F565,500),MAX(1.5*F565,500)))/170-1</f>
        <v>18.352941176470587</v>
      </c>
      <c r="J569" s="50">
        <v>8</v>
      </c>
      <c r="K569" s="50">
        <f>(E565-2*$E$3+2*J569)*2+(F565-2*$E$3+2*J569)*2+2*1.9*J569+2*MAX(10*J569,75)</f>
        <v>1314.4</v>
      </c>
      <c r="L569" s="50">
        <f t="shared" si="9"/>
        <v>9.5257320508235317</v>
      </c>
      <c r="M569" s="189"/>
      <c r="N569" s="189"/>
      <c r="O569" s="189"/>
      <c r="P569" s="189"/>
      <c r="Q569" s="189"/>
    </row>
    <row r="570" spans="2:17" x14ac:dyDescent="0.15">
      <c r="B570" s="208"/>
      <c r="C570" s="209"/>
      <c r="D570" s="209">
        <v>1</v>
      </c>
      <c r="E570" s="209">
        <v>250</v>
      </c>
      <c r="F570" s="189">
        <v>500</v>
      </c>
      <c r="G570" s="189">
        <v>6000</v>
      </c>
      <c r="H570" s="50" t="s">
        <v>155</v>
      </c>
      <c r="I570" s="50">
        <v>4</v>
      </c>
      <c r="J570" s="50">
        <v>14</v>
      </c>
      <c r="K570" s="49">
        <f>G570/3+MAX($D$3*J570,0.4*$D$3*J570+15*J570,MAX(柱工程量计算!$E$3:$F$72)-$E$3+15*J570)</f>
        <v>2780</v>
      </c>
      <c r="L570" s="50">
        <f t="shared" si="9"/>
        <v>13.447638399999995</v>
      </c>
      <c r="M570" s="189">
        <f>(2*F570+E570)*G570/10^6</f>
        <v>7.5</v>
      </c>
      <c r="N570" s="189">
        <f>PRODUCT(E570:G573)/10^9</f>
        <v>0.75</v>
      </c>
      <c r="O570" s="189">
        <f>SUM(L570:L573)</f>
        <v>77.087733200000002</v>
      </c>
      <c r="P570" s="189"/>
      <c r="Q570" s="189">
        <v>1</v>
      </c>
    </row>
    <row r="571" spans="2:17" x14ac:dyDescent="0.15">
      <c r="B571" s="208"/>
      <c r="C571" s="209"/>
      <c r="D571" s="209"/>
      <c r="E571" s="209"/>
      <c r="F571" s="189"/>
      <c r="G571" s="189"/>
      <c r="H571" s="50" t="s">
        <v>156</v>
      </c>
      <c r="I571" s="50">
        <v>4</v>
      </c>
      <c r="J571" s="50">
        <v>14</v>
      </c>
      <c r="K571" s="49">
        <f>G570/3+MAX($D$3*J571,0.4*$D$3*J571+15*J571,MAX(柱工程量计算!$E$3:$F$72)-$E$3+15*J571)</f>
        <v>2780</v>
      </c>
      <c r="L571" s="50">
        <f t="shared" si="9"/>
        <v>13.447638399999995</v>
      </c>
      <c r="M571" s="189"/>
      <c r="N571" s="189"/>
      <c r="O571" s="189"/>
      <c r="P571" s="189"/>
      <c r="Q571" s="189"/>
    </row>
    <row r="572" spans="2:17" x14ac:dyDescent="0.15">
      <c r="B572" s="208"/>
      <c r="C572" s="209"/>
      <c r="D572" s="209"/>
      <c r="E572" s="209"/>
      <c r="F572" s="189"/>
      <c r="G572" s="189"/>
      <c r="H572" s="50" t="s">
        <v>153</v>
      </c>
      <c r="I572" s="50">
        <v>2</v>
      </c>
      <c r="J572" s="50">
        <v>18</v>
      </c>
      <c r="K572" s="49">
        <f>G570+2*IF((MAX(柱工程量计算!$E$3:$F$72)-$E$3)&gt;$D$3*J572,MAX($D$3*J572,0.5*MAX(柱工程量计算!$E$3:$F$72)+5*J572),MAX($D$3*J572,0.4*$D$3*J572+15*J572))</f>
        <v>6945</v>
      </c>
      <c r="L572" s="50">
        <f t="shared" si="9"/>
        <v>27.767221200000005</v>
      </c>
      <c r="M572" s="189"/>
      <c r="N572" s="189"/>
      <c r="O572" s="189"/>
      <c r="P572" s="189"/>
      <c r="Q572" s="189"/>
    </row>
    <row r="573" spans="2:17" x14ac:dyDescent="0.15">
      <c r="B573" s="208"/>
      <c r="C573" s="209"/>
      <c r="D573" s="209"/>
      <c r="E573" s="209"/>
      <c r="F573" s="189"/>
      <c r="G573" s="189"/>
      <c r="H573" s="50" t="s">
        <v>108</v>
      </c>
      <c r="I573" s="50">
        <f>2*((IF($B$3="一级",MAX(2*F570,500),MAX(1.5*F570,500))-50)/100+1)+(G570-2*IF($B$3="一级",MAX(2*F570,500),MAX(1.5*F570,500)))/200-1</f>
        <v>37.5</v>
      </c>
      <c r="J573" s="50">
        <v>8</v>
      </c>
      <c r="K573" s="50">
        <f>(E570-2*$E$3+2*J573)*2+(F570-2*$E$3+2*J573)*2+2*1.9*J573+2*MAX(10*J573,75)</f>
        <v>1514.4</v>
      </c>
      <c r="L573" s="50">
        <f t="shared" si="9"/>
        <v>22.425235200000003</v>
      </c>
      <c r="M573" s="189"/>
      <c r="N573" s="189"/>
      <c r="O573" s="189"/>
      <c r="P573" s="189"/>
      <c r="Q573" s="189"/>
    </row>
    <row r="574" spans="2:17" x14ac:dyDescent="0.15">
      <c r="B574" s="208"/>
      <c r="C574" s="209" t="s">
        <v>159</v>
      </c>
      <c r="D574" s="189" t="s">
        <v>106</v>
      </c>
      <c r="E574" s="189"/>
      <c r="F574" s="189">
        <v>42600</v>
      </c>
      <c r="G574" s="189"/>
      <c r="H574" s="50" t="s">
        <v>103</v>
      </c>
      <c r="I574" s="50">
        <v>2</v>
      </c>
      <c r="J574" s="50">
        <v>20</v>
      </c>
      <c r="K574" s="49">
        <f>F574+2*IF((MAX(柱工程量计算!$E$3:$F$72)-$E$3)&gt;$D$3*J574,MAX($D$3*J574,0.5*MAX(柱工程量计算!$E$3:$F$72)+5*J574,MAX($D$3*J574,0.4*$D$3*J574+15*J574)))</f>
        <v>43650</v>
      </c>
      <c r="L574" s="50">
        <f t="shared" si="9"/>
        <v>215.4564</v>
      </c>
      <c r="M574" s="189">
        <f>(2*F576+E576)*G576/10^6</f>
        <v>7.5</v>
      </c>
      <c r="N574" s="189">
        <f>PRODUCT(E576:G583)/10^9</f>
        <v>0.75</v>
      </c>
      <c r="O574" s="189">
        <f>SUM(L574:L583)</f>
        <v>495.34333103199992</v>
      </c>
      <c r="P574" s="189">
        <v>2</v>
      </c>
      <c r="Q574" s="189"/>
    </row>
    <row r="575" spans="2:17" x14ac:dyDescent="0.15">
      <c r="B575" s="208"/>
      <c r="C575" s="209"/>
      <c r="D575" s="189"/>
      <c r="E575" s="189"/>
      <c r="F575" s="189"/>
      <c r="G575" s="189"/>
      <c r="H575" s="50" t="s">
        <v>100</v>
      </c>
      <c r="I575" s="50">
        <v>4</v>
      </c>
      <c r="J575" s="50">
        <v>12</v>
      </c>
      <c r="K575" s="49">
        <f>IF(F576&gt;=450,F574+2*IF((MAX(柱工程量计算!$E$3:$F$72)-$E$3)&gt;$D$3*J575,MAX($D$3*J575,0.5*MAX(柱工程量计算!$E$3:$F$72)+5*J575),MAX($D$3*J575,0.4*$D$3*J575+15*J575)),F574+15*J575)</f>
        <v>43320</v>
      </c>
      <c r="L575" s="50">
        <f t="shared" si="9"/>
        <v>153.95581440000001</v>
      </c>
      <c r="M575" s="189"/>
      <c r="N575" s="189"/>
      <c r="O575" s="189"/>
      <c r="P575" s="189"/>
      <c r="Q575" s="189"/>
    </row>
    <row r="576" spans="2:17" x14ac:dyDescent="0.15">
      <c r="B576" s="208"/>
      <c r="C576" s="209"/>
      <c r="D576" s="209">
        <v>2</v>
      </c>
      <c r="E576" s="209">
        <v>250</v>
      </c>
      <c r="F576" s="189">
        <v>500</v>
      </c>
      <c r="G576" s="189">
        <v>6000</v>
      </c>
      <c r="H576" s="50" t="s">
        <v>111</v>
      </c>
      <c r="I576" s="50">
        <v>2</v>
      </c>
      <c r="J576" s="50">
        <v>20</v>
      </c>
      <c r="K576" s="49">
        <f>G576/3+MAX($D$3*J576,0.4*$D$3*J576+15*J576,MAX(柱工程量计算!$E$3:$F$72)-$E$3+15*J576)</f>
        <v>2870</v>
      </c>
      <c r="L576" s="50">
        <f t="shared" si="9"/>
        <v>14.166319999999999</v>
      </c>
      <c r="M576" s="189"/>
      <c r="N576" s="189"/>
      <c r="O576" s="189"/>
      <c r="P576" s="189"/>
      <c r="Q576" s="189"/>
    </row>
    <row r="577" spans="2:17" x14ac:dyDescent="0.15">
      <c r="B577" s="208"/>
      <c r="C577" s="209"/>
      <c r="D577" s="209"/>
      <c r="E577" s="209"/>
      <c r="F577" s="189"/>
      <c r="G577" s="189"/>
      <c r="H577" s="50" t="s">
        <v>110</v>
      </c>
      <c r="I577" s="50">
        <v>1</v>
      </c>
      <c r="J577" s="50">
        <v>16</v>
      </c>
      <c r="K577" s="49">
        <f>G576/4+MAX($D$3*J577,0.4*$D$3*J577+15*J577,MAX(柱工程量计算!$E$3:$F$72)-$E$3+15*J577)</f>
        <v>2310</v>
      </c>
      <c r="L577" s="50">
        <f t="shared" si="9"/>
        <v>3.6486912000000005</v>
      </c>
      <c r="M577" s="189"/>
      <c r="N577" s="189"/>
      <c r="O577" s="189"/>
      <c r="P577" s="189"/>
      <c r="Q577" s="189"/>
    </row>
    <row r="578" spans="2:17" x14ac:dyDescent="0.15">
      <c r="B578" s="208"/>
      <c r="C578" s="209"/>
      <c r="D578" s="209"/>
      <c r="E578" s="209"/>
      <c r="F578" s="189"/>
      <c r="G578" s="189"/>
      <c r="H578" s="50" t="s">
        <v>146</v>
      </c>
      <c r="I578" s="50">
        <v>2</v>
      </c>
      <c r="J578" s="50">
        <v>20</v>
      </c>
      <c r="K578" s="49">
        <f>G576/3+MAX($D$3*J578,0.4*$D$3*J578+15*J578,MAX(柱工程量计算!$E$3:$F$72)-$E$3+15*J578)</f>
        <v>2870</v>
      </c>
      <c r="L578" s="50">
        <f t="shared" si="9"/>
        <v>14.166319999999999</v>
      </c>
      <c r="M578" s="189"/>
      <c r="N578" s="189"/>
      <c r="O578" s="189"/>
      <c r="P578" s="189"/>
      <c r="Q578" s="189"/>
    </row>
    <row r="579" spans="2:17" x14ac:dyDescent="0.15">
      <c r="B579" s="208"/>
      <c r="C579" s="209"/>
      <c r="D579" s="209"/>
      <c r="E579" s="209"/>
      <c r="F579" s="189"/>
      <c r="G579" s="189"/>
      <c r="H579" s="50" t="s">
        <v>113</v>
      </c>
      <c r="I579" s="50">
        <v>1</v>
      </c>
      <c r="J579" s="50">
        <v>18</v>
      </c>
      <c r="K579" s="49">
        <f>G576/4+MAX($D$3*J579,0.4*$D$3*J579+15*J579,MAX(柱工程量计算!$E$3:$F$72)-$E$3+15*J579)</f>
        <v>2340</v>
      </c>
      <c r="L579" s="50">
        <f t="shared" si="9"/>
        <v>4.6778472000000004</v>
      </c>
      <c r="M579" s="189"/>
      <c r="N579" s="189"/>
      <c r="O579" s="189"/>
      <c r="P579" s="189"/>
      <c r="Q579" s="189"/>
    </row>
    <row r="580" spans="2:17" x14ac:dyDescent="0.15">
      <c r="B580" s="208"/>
      <c r="C580" s="209"/>
      <c r="D580" s="209"/>
      <c r="E580" s="209"/>
      <c r="F580" s="189"/>
      <c r="G580" s="189"/>
      <c r="H580" s="50" t="s">
        <v>121</v>
      </c>
      <c r="I580" s="50">
        <v>3</v>
      </c>
      <c r="J580" s="50">
        <v>18</v>
      </c>
      <c r="K580" s="49">
        <f>G576+2*IF((MAX(柱工程量计算!$E$3:$F$72)-$E$3)&gt;$D$3*J580,MAX($D$3*J580,0.5*MAX(柱工程量计算!$E$3:$F$72)+5*J580),MAX($D$3*J580,0.4*$D$3*J580+15*J580))</f>
        <v>6945</v>
      </c>
      <c r="L580" s="50">
        <f t="shared" si="9"/>
        <v>41.650831800000006</v>
      </c>
      <c r="M580" s="189"/>
      <c r="N580" s="189"/>
      <c r="O580" s="189"/>
      <c r="P580" s="189"/>
      <c r="Q580" s="189"/>
    </row>
    <row r="581" spans="2:17" x14ac:dyDescent="0.15">
      <c r="B581" s="208"/>
      <c r="C581" s="209"/>
      <c r="D581" s="209"/>
      <c r="E581" s="209"/>
      <c r="F581" s="189"/>
      <c r="G581" s="189"/>
      <c r="H581" s="50" t="s">
        <v>120</v>
      </c>
      <c r="I581" s="50">
        <v>2</v>
      </c>
      <c r="J581" s="50">
        <v>16</v>
      </c>
      <c r="K581" s="49">
        <f>G576+2*IF((MAX(柱工程量计算!$E$3:$F$72)-$E$3)&gt;$D$3*J581,MAX($D$3*J581,0.5*MAX(柱工程量计算!$E$3:$F$72)+5*J581),MAX($D$3*J581,0.4*$D$3*J581+15*J581))</f>
        <v>6840</v>
      </c>
      <c r="L581" s="50">
        <f t="shared" si="9"/>
        <v>21.607833600000003</v>
      </c>
      <c r="M581" s="189"/>
      <c r="N581" s="189"/>
      <c r="O581" s="189"/>
      <c r="P581" s="189"/>
      <c r="Q581" s="189"/>
    </row>
    <row r="582" spans="2:17" x14ac:dyDescent="0.15">
      <c r="B582" s="208"/>
      <c r="C582" s="209"/>
      <c r="D582" s="209"/>
      <c r="E582" s="209"/>
      <c r="F582" s="189"/>
      <c r="G582" s="189"/>
      <c r="H582" s="50" t="s">
        <v>108</v>
      </c>
      <c r="I582" s="50">
        <f>2*((IF(B574="一级",MAX(2*F576,500),MAX(1.5*F576,500))-50)/100+1)+(G576-2*IF(B574="一级",MAX(2*F576,500),MAX(1.5*F576,500)))/200-1</f>
        <v>37.5</v>
      </c>
      <c r="J582" s="50">
        <v>8</v>
      </c>
      <c r="K582" s="50">
        <f>(E576-2*$E$3+2*J582)*2+(F576-2*$E$3+2*J582)*2+2*1.9*J582+2*MAX(10*J582,75)</f>
        <v>1514.4</v>
      </c>
      <c r="L582" s="50">
        <f t="shared" si="9"/>
        <v>22.425235200000003</v>
      </c>
      <c r="M582" s="189"/>
      <c r="N582" s="189"/>
      <c r="O582" s="189"/>
      <c r="P582" s="189"/>
      <c r="Q582" s="189"/>
    </row>
    <row r="583" spans="2:17" x14ac:dyDescent="0.15">
      <c r="B583" s="208"/>
      <c r="C583" s="209"/>
      <c r="D583" s="209"/>
      <c r="E583" s="209"/>
      <c r="F583" s="189"/>
      <c r="G583" s="189"/>
      <c r="H583" s="50" t="s">
        <v>132</v>
      </c>
      <c r="I583" s="50">
        <v>6</v>
      </c>
      <c r="J583" s="50">
        <v>8</v>
      </c>
      <c r="K583" s="49">
        <f>(E576-2*$E$3+2*J583)*2+(F576-2*$E$3+2*J583)*2+2*1.9*J583+2*MAX(10*J583,75)</f>
        <v>1514.4</v>
      </c>
      <c r="L583" s="50">
        <f t="shared" si="9"/>
        <v>3.5880376320000007</v>
      </c>
      <c r="M583" s="189"/>
      <c r="N583" s="189"/>
      <c r="O583" s="189"/>
      <c r="P583" s="189"/>
      <c r="Q583" s="189"/>
    </row>
    <row r="584" spans="2:17" x14ac:dyDescent="0.15">
      <c r="B584" s="208"/>
      <c r="C584" s="209"/>
      <c r="D584" s="209">
        <v>2</v>
      </c>
      <c r="E584" s="209">
        <v>250</v>
      </c>
      <c r="F584" s="189">
        <v>500</v>
      </c>
      <c r="G584" s="189">
        <v>6000</v>
      </c>
      <c r="H584" s="50" t="s">
        <v>111</v>
      </c>
      <c r="I584" s="50">
        <v>2</v>
      </c>
      <c r="J584" s="50">
        <v>20</v>
      </c>
      <c r="K584" s="49">
        <f>G584/3+MAX($D$3*J584,0.4*$D$3*J584+15*J584,MAX(柱工程量计算!$E$3:$F$72)-$E$3+15*J584)</f>
        <v>2870</v>
      </c>
      <c r="L584" s="50">
        <f t="shared" si="9"/>
        <v>14.166319999999999</v>
      </c>
      <c r="M584" s="189">
        <f>(2*F584+E584)*G584/10^6</f>
        <v>7.5</v>
      </c>
      <c r="N584" s="189">
        <f>PRODUCT(E584:G590)/10^9</f>
        <v>0.75</v>
      </c>
      <c r="O584" s="189">
        <f>SUM(L584:L590)</f>
        <v>126.77295143200001</v>
      </c>
      <c r="P584" s="189">
        <v>1</v>
      </c>
      <c r="Q584" s="189">
        <v>1</v>
      </c>
    </row>
    <row r="585" spans="2:17" x14ac:dyDescent="0.15">
      <c r="B585" s="208"/>
      <c r="C585" s="209"/>
      <c r="D585" s="209"/>
      <c r="E585" s="209"/>
      <c r="F585" s="189"/>
      <c r="G585" s="189"/>
      <c r="H585" s="50" t="s">
        <v>110</v>
      </c>
      <c r="I585" s="50">
        <v>1</v>
      </c>
      <c r="J585" s="50">
        <v>18</v>
      </c>
      <c r="K585" s="49">
        <f>G584/4+MAX($D$3*J585,0.4*$D$3*J585+15*J585,MAX(柱工程量计算!$E$3:$F$72)-$E$3+15*J585)</f>
        <v>2340</v>
      </c>
      <c r="L585" s="50">
        <f t="shared" si="9"/>
        <v>4.6778472000000004</v>
      </c>
      <c r="M585" s="189"/>
      <c r="N585" s="189"/>
      <c r="O585" s="189"/>
      <c r="P585" s="189"/>
      <c r="Q585" s="189"/>
    </row>
    <row r="586" spans="2:17" x14ac:dyDescent="0.15">
      <c r="B586" s="208"/>
      <c r="C586" s="209"/>
      <c r="D586" s="209"/>
      <c r="E586" s="209"/>
      <c r="F586" s="189"/>
      <c r="G586" s="189"/>
      <c r="H586" s="50" t="s">
        <v>146</v>
      </c>
      <c r="I586" s="50">
        <v>2</v>
      </c>
      <c r="J586" s="50">
        <v>20</v>
      </c>
      <c r="K586" s="49">
        <f>G584/3+MAX($D$3*J586,0.4*$D$3*J586+15*J586,MAX(柱工程量计算!$E$3:$F$72)-$E$3+15*J586)</f>
        <v>2870</v>
      </c>
      <c r="L586" s="50">
        <f t="shared" si="9"/>
        <v>14.166319999999999</v>
      </c>
      <c r="M586" s="189"/>
      <c r="N586" s="189"/>
      <c r="O586" s="189"/>
      <c r="P586" s="189"/>
      <c r="Q586" s="189"/>
    </row>
    <row r="587" spans="2:17" x14ac:dyDescent="0.15">
      <c r="B587" s="208"/>
      <c r="C587" s="209"/>
      <c r="D587" s="209"/>
      <c r="E587" s="209"/>
      <c r="F587" s="189"/>
      <c r="G587" s="189"/>
      <c r="H587" s="50" t="s">
        <v>113</v>
      </c>
      <c r="I587" s="50">
        <v>1</v>
      </c>
      <c r="J587" s="50">
        <v>16</v>
      </c>
      <c r="K587" s="49">
        <f>G584/4+MAX($D$3*J587,0.4*$D$3*J587+15*J587,MAX(柱工程量计算!$E$3:$F$72)-$E$3+15*J587)</f>
        <v>2310</v>
      </c>
      <c r="L587" s="50">
        <f t="shared" si="9"/>
        <v>3.6486912000000005</v>
      </c>
      <c r="M587" s="189"/>
      <c r="N587" s="189"/>
      <c r="O587" s="189"/>
      <c r="P587" s="189"/>
      <c r="Q587" s="189"/>
    </row>
    <row r="588" spans="2:17" x14ac:dyDescent="0.15">
      <c r="B588" s="208"/>
      <c r="C588" s="209"/>
      <c r="D588" s="209"/>
      <c r="E588" s="209"/>
      <c r="F588" s="189"/>
      <c r="G588" s="189"/>
      <c r="H588" s="50" t="s">
        <v>152</v>
      </c>
      <c r="I588" s="50">
        <v>3</v>
      </c>
      <c r="J588" s="50">
        <v>22</v>
      </c>
      <c r="K588" s="49">
        <f>G584+2*IF((MAX(柱工程量计算!$E$3:$F$72)-$E$3)&gt;$D$3*J588,MAX($D$3*J588,0.5*MAX(柱工程量计算!$E$3:$F$72)+5*J588),MAX($D$3*J588,0.4*$D$3*J588+15*J588))</f>
        <v>7155</v>
      </c>
      <c r="L588" s="50">
        <f t="shared" si="9"/>
        <v>64.100500200000013</v>
      </c>
      <c r="M588" s="189"/>
      <c r="N588" s="189"/>
      <c r="O588" s="189"/>
      <c r="P588" s="189"/>
      <c r="Q588" s="189"/>
    </row>
    <row r="589" spans="2:17" x14ac:dyDescent="0.15">
      <c r="B589" s="208"/>
      <c r="C589" s="209"/>
      <c r="D589" s="209"/>
      <c r="E589" s="209"/>
      <c r="F589" s="189"/>
      <c r="G589" s="189"/>
      <c r="H589" s="50" t="s">
        <v>108</v>
      </c>
      <c r="I589" s="50">
        <f>2*((IF(B582="一级",MAX(2*F584,500),MAX(1.5*F584,500))-50)/100+1)+(G584-2*IF(B582="一级",MAX(2*F584,500),MAX(1.5*F584,500)))/200-1</f>
        <v>37.5</v>
      </c>
      <c r="J589" s="50">
        <v>8</v>
      </c>
      <c r="K589" s="50">
        <f>(E584-2*$E$3+2*J589)*2+(F584-2*$E$3+2*J589)*2+2*1.9*J589+2*MAX(10*J589,75)</f>
        <v>1514.4</v>
      </c>
      <c r="L589" s="50">
        <f t="shared" si="9"/>
        <v>22.425235200000003</v>
      </c>
      <c r="M589" s="189"/>
      <c r="N589" s="189"/>
      <c r="O589" s="189"/>
      <c r="P589" s="189"/>
      <c r="Q589" s="189"/>
    </row>
    <row r="590" spans="2:17" x14ac:dyDescent="0.15">
      <c r="B590" s="208"/>
      <c r="C590" s="209"/>
      <c r="D590" s="209"/>
      <c r="E590" s="209"/>
      <c r="F590" s="189"/>
      <c r="G590" s="189"/>
      <c r="H590" s="50" t="s">
        <v>132</v>
      </c>
      <c r="I590" s="50">
        <v>6</v>
      </c>
      <c r="J590" s="50">
        <v>8</v>
      </c>
      <c r="K590" s="49">
        <f>(E584-2*$E$3+2*J590)*2+(F584-2*$E$3+2*J590)*2+2*1.9*J590+2*MAX(10*J590,75)</f>
        <v>1514.4</v>
      </c>
      <c r="L590" s="50">
        <f t="shared" ref="L590:L623" si="10">I590*(J590/10)^2*0.617*K590/1000</f>
        <v>3.5880376320000007</v>
      </c>
      <c r="M590" s="189"/>
      <c r="N590" s="189"/>
      <c r="O590" s="189"/>
      <c r="P590" s="189"/>
      <c r="Q590" s="189"/>
    </row>
    <row r="591" spans="2:17" x14ac:dyDescent="0.15">
      <c r="B591" s="208"/>
      <c r="C591" s="209"/>
      <c r="D591" s="209">
        <v>2</v>
      </c>
      <c r="E591" s="209">
        <v>250</v>
      </c>
      <c r="F591" s="189">
        <v>500</v>
      </c>
      <c r="G591" s="189">
        <v>6000</v>
      </c>
      <c r="H591" s="50" t="s">
        <v>111</v>
      </c>
      <c r="I591" s="50">
        <v>2</v>
      </c>
      <c r="J591" s="50">
        <v>20</v>
      </c>
      <c r="K591" s="49">
        <f>G591/3+MAX($D$3*J591,0.4*$D$3*J591+15*J591,MAX(柱工程量计算!$E$3:$F$72)-$E$3+15*J591)</f>
        <v>2870</v>
      </c>
      <c r="L591" s="50">
        <f t="shared" si="10"/>
        <v>14.166319999999999</v>
      </c>
      <c r="M591" s="189">
        <f>(2*F591+E591)*G591/10^6</f>
        <v>7.5</v>
      </c>
      <c r="N591" s="189">
        <f>PRODUCT(E591:G597)/10^9</f>
        <v>0.75</v>
      </c>
      <c r="O591" s="189">
        <f>SUM(L591:L597)</f>
        <v>125.74379543200001</v>
      </c>
      <c r="P591" s="189"/>
      <c r="Q591" s="189">
        <v>2</v>
      </c>
    </row>
    <row r="592" spans="2:17" x14ac:dyDescent="0.15">
      <c r="B592" s="208"/>
      <c r="C592" s="209"/>
      <c r="D592" s="209"/>
      <c r="E592" s="209"/>
      <c r="F592" s="189"/>
      <c r="G592" s="189"/>
      <c r="H592" s="50" t="s">
        <v>110</v>
      </c>
      <c r="I592" s="50">
        <v>1</v>
      </c>
      <c r="J592" s="50">
        <v>16</v>
      </c>
      <c r="K592" s="49">
        <f>G591/4+MAX($D$3*J592,0.4*$D$3*J592+15*J592,MAX(柱工程量计算!$E$3:$F$72)-$E$3+15*J592)</f>
        <v>2310</v>
      </c>
      <c r="L592" s="50">
        <f t="shared" si="10"/>
        <v>3.6486912000000005</v>
      </c>
      <c r="M592" s="189"/>
      <c r="N592" s="189"/>
      <c r="O592" s="189"/>
      <c r="P592" s="189"/>
      <c r="Q592" s="189"/>
    </row>
    <row r="593" spans="2:17" x14ac:dyDescent="0.15">
      <c r="B593" s="208"/>
      <c r="C593" s="209"/>
      <c r="D593" s="209"/>
      <c r="E593" s="209"/>
      <c r="F593" s="189"/>
      <c r="G593" s="189"/>
      <c r="H593" s="50" t="s">
        <v>146</v>
      </c>
      <c r="I593" s="50">
        <v>2</v>
      </c>
      <c r="J593" s="50">
        <v>20</v>
      </c>
      <c r="K593" s="49">
        <f>G591/3+MAX($D$3*J593,0.4*$D$3*J593+15*J593,MAX(柱工程量计算!$E$3:$F$72)-$E$3+15*J593)</f>
        <v>2870</v>
      </c>
      <c r="L593" s="50">
        <f t="shared" si="10"/>
        <v>14.166319999999999</v>
      </c>
      <c r="M593" s="189"/>
      <c r="N593" s="189"/>
      <c r="O593" s="189"/>
      <c r="P593" s="189"/>
      <c r="Q593" s="189"/>
    </row>
    <row r="594" spans="2:17" x14ac:dyDescent="0.15">
      <c r="B594" s="208"/>
      <c r="C594" s="209"/>
      <c r="D594" s="209"/>
      <c r="E594" s="209"/>
      <c r="F594" s="189"/>
      <c r="G594" s="189"/>
      <c r="H594" s="50" t="s">
        <v>113</v>
      </c>
      <c r="I594" s="50">
        <v>1</v>
      </c>
      <c r="J594" s="50">
        <v>16</v>
      </c>
      <c r="K594" s="49">
        <f>G591/4+MAX($D$3*J594,0.4*$D$3*J594+15*J594,MAX(柱工程量计算!$E$3:$F$72)-$E$3+15*J594)</f>
        <v>2310</v>
      </c>
      <c r="L594" s="50">
        <f t="shared" si="10"/>
        <v>3.6486912000000005</v>
      </c>
      <c r="M594" s="189"/>
      <c r="N594" s="189"/>
      <c r="O594" s="189"/>
      <c r="P594" s="189"/>
      <c r="Q594" s="189"/>
    </row>
    <row r="595" spans="2:17" x14ac:dyDescent="0.15">
      <c r="B595" s="208"/>
      <c r="C595" s="209"/>
      <c r="D595" s="209"/>
      <c r="E595" s="209"/>
      <c r="F595" s="189"/>
      <c r="G595" s="189"/>
      <c r="H595" s="50" t="s">
        <v>152</v>
      </c>
      <c r="I595" s="50">
        <v>3</v>
      </c>
      <c r="J595" s="50">
        <v>22</v>
      </c>
      <c r="K595" s="49">
        <f>G591+2*IF((MAX(柱工程量计算!$E$3:$F$72)-$E$3)&gt;$D$3*J595,MAX($D$3*J595,0.5*MAX(柱工程量计算!$E$3:$F$72)+5*J595),MAX($D$3*J595,0.4*$D$3*J595+15*J595))</f>
        <v>7155</v>
      </c>
      <c r="L595" s="50">
        <f t="shared" si="10"/>
        <v>64.100500200000013</v>
      </c>
      <c r="M595" s="189"/>
      <c r="N595" s="189"/>
      <c r="O595" s="189"/>
      <c r="P595" s="189"/>
      <c r="Q595" s="189"/>
    </row>
    <row r="596" spans="2:17" x14ac:dyDescent="0.15">
      <c r="B596" s="208"/>
      <c r="C596" s="209"/>
      <c r="D596" s="209"/>
      <c r="E596" s="209"/>
      <c r="F596" s="189"/>
      <c r="G596" s="189"/>
      <c r="H596" s="50" t="s">
        <v>108</v>
      </c>
      <c r="I596" s="50">
        <f>2*((IF(B589="一级",MAX(2*F591,500),MAX(1.5*F591,500))-50)/100+1)+(G591-2*IF(B589="一级",MAX(2*F591,500),MAX(1.5*F591,500)))/200-1</f>
        <v>37.5</v>
      </c>
      <c r="J596" s="50">
        <v>8</v>
      </c>
      <c r="K596" s="50">
        <f>(E591-2*$E$3+2*J596)*2+(F591-2*$E$3+2*J596)*2+2*1.9*J596+2*MAX(10*J596,75)</f>
        <v>1514.4</v>
      </c>
      <c r="L596" s="50">
        <f t="shared" si="10"/>
        <v>22.425235200000003</v>
      </c>
      <c r="M596" s="189"/>
      <c r="N596" s="189"/>
      <c r="O596" s="189"/>
      <c r="P596" s="189"/>
      <c r="Q596" s="189"/>
    </row>
    <row r="597" spans="2:17" x14ac:dyDescent="0.15">
      <c r="B597" s="208"/>
      <c r="C597" s="209"/>
      <c r="D597" s="209"/>
      <c r="E597" s="209"/>
      <c r="F597" s="189"/>
      <c r="G597" s="189"/>
      <c r="H597" s="50" t="s">
        <v>132</v>
      </c>
      <c r="I597" s="50">
        <v>6</v>
      </c>
      <c r="J597" s="50">
        <v>8</v>
      </c>
      <c r="K597" s="49">
        <f>(E591-2*$E$3+2*J597)*2+(F591-2*$E$3+2*J597)*2+2*1.9*J597+2*MAX(10*J597,75)</f>
        <v>1514.4</v>
      </c>
      <c r="L597" s="50">
        <f t="shared" si="10"/>
        <v>3.5880376320000007</v>
      </c>
      <c r="M597" s="189"/>
      <c r="N597" s="189"/>
      <c r="O597" s="189"/>
      <c r="P597" s="189"/>
      <c r="Q597" s="189"/>
    </row>
    <row r="598" spans="2:17" x14ac:dyDescent="0.15">
      <c r="B598" s="208"/>
      <c r="C598" s="209" t="s">
        <v>160</v>
      </c>
      <c r="D598" s="189" t="s">
        <v>106</v>
      </c>
      <c r="E598" s="189"/>
      <c r="F598" s="189">
        <v>42600</v>
      </c>
      <c r="G598" s="189"/>
      <c r="H598" s="50" t="s">
        <v>103</v>
      </c>
      <c r="I598" s="50">
        <v>2</v>
      </c>
      <c r="J598" s="50">
        <v>22</v>
      </c>
      <c r="K598" s="49">
        <f>F598+2*IF((MAX(柱工程量计算!$E$3:$F$72)-$E$3)&gt;$D$3*J598,MAX($D$3*J598,0.5*MAX(柱工程量计算!$E$3:$F$72)+5*J598,MAX($D$3*J598,0.4*$D$3*J598+15*J598)))</f>
        <v>42600</v>
      </c>
      <c r="L598" s="50">
        <f t="shared" si="10"/>
        <v>254.43105600000001</v>
      </c>
      <c r="M598" s="189">
        <f>(2*F600+E600)*G600/10^6</f>
        <v>7.5</v>
      </c>
      <c r="N598" s="189">
        <f>PRODUCT(E600:G606)/10^9</f>
        <v>0.75</v>
      </c>
      <c r="O598" s="189">
        <f>SUM(L598:L606)</f>
        <v>570.88449203200003</v>
      </c>
      <c r="P598" s="189">
        <v>4</v>
      </c>
      <c r="Q598" s="189"/>
    </row>
    <row r="599" spans="2:17" x14ac:dyDescent="0.15">
      <c r="B599" s="208"/>
      <c r="C599" s="209"/>
      <c r="D599" s="189"/>
      <c r="E599" s="189"/>
      <c r="F599" s="189"/>
      <c r="G599" s="189"/>
      <c r="H599" s="50" t="s">
        <v>100</v>
      </c>
      <c r="I599" s="50">
        <v>4</v>
      </c>
      <c r="J599" s="50">
        <v>12</v>
      </c>
      <c r="K599" s="49">
        <f>IF(F600&gt;=450,F598+2*IF((MAX(柱工程量计算!$E$3:$F$72)-$E$3)&gt;$D$3*J599,MAX($D$3*J599,0.5*MAX(柱工程量计算!$E$3:$F$72)+5*J599),MAX($D$3*J599,0.4*$D$3*J599+15*J599)),F598+15*J599)</f>
        <v>43320</v>
      </c>
      <c r="L599" s="50">
        <f t="shared" si="10"/>
        <v>153.95581440000001</v>
      </c>
      <c r="M599" s="189"/>
      <c r="N599" s="189"/>
      <c r="O599" s="189"/>
      <c r="P599" s="189"/>
      <c r="Q599" s="189"/>
    </row>
    <row r="600" spans="2:17" x14ac:dyDescent="0.15">
      <c r="B600" s="208"/>
      <c r="C600" s="209"/>
      <c r="D600" s="209">
        <v>4</v>
      </c>
      <c r="E600" s="209">
        <v>250</v>
      </c>
      <c r="F600" s="189">
        <v>500</v>
      </c>
      <c r="G600" s="189">
        <v>6000</v>
      </c>
      <c r="H600" s="50" t="s">
        <v>111</v>
      </c>
      <c r="I600" s="50">
        <v>2</v>
      </c>
      <c r="J600" s="50">
        <v>22</v>
      </c>
      <c r="K600" s="49">
        <f>G600/3+MAX($D$3*J600,0.4*$D$3*J600+15*J600,MAX(柱工程量计算!$E$3:$F$72)-$E$3+15*J600)</f>
        <v>2900</v>
      </c>
      <c r="L600" s="50">
        <f t="shared" si="10"/>
        <v>17.320424000000003</v>
      </c>
      <c r="M600" s="189"/>
      <c r="N600" s="189"/>
      <c r="O600" s="189"/>
      <c r="P600" s="189"/>
      <c r="Q600" s="189"/>
    </row>
    <row r="601" spans="2:17" x14ac:dyDescent="0.15">
      <c r="B601" s="208"/>
      <c r="C601" s="209"/>
      <c r="D601" s="209"/>
      <c r="E601" s="209"/>
      <c r="F601" s="189"/>
      <c r="G601" s="189"/>
      <c r="H601" s="50" t="s">
        <v>110</v>
      </c>
      <c r="I601" s="50">
        <v>1</v>
      </c>
      <c r="J601" s="50">
        <v>18</v>
      </c>
      <c r="K601" s="49">
        <f>G600/4+MAX($D$3*J601,0.4*$D$3*J601+15*J601,MAX(柱工程量计算!$E$3:$F$72)-$E$3+15*J601)</f>
        <v>2340</v>
      </c>
      <c r="L601" s="50">
        <f t="shared" si="10"/>
        <v>4.6778472000000004</v>
      </c>
      <c r="M601" s="189"/>
      <c r="N601" s="189"/>
      <c r="O601" s="189"/>
      <c r="P601" s="189"/>
      <c r="Q601" s="189"/>
    </row>
    <row r="602" spans="2:17" x14ac:dyDescent="0.15">
      <c r="B602" s="208"/>
      <c r="C602" s="209"/>
      <c r="D602" s="209"/>
      <c r="E602" s="209"/>
      <c r="F602" s="189"/>
      <c r="G602" s="189"/>
      <c r="H602" s="50" t="s">
        <v>146</v>
      </c>
      <c r="I602" s="50">
        <v>2</v>
      </c>
      <c r="J602" s="50">
        <v>22</v>
      </c>
      <c r="K602" s="49">
        <f>G600/3+MAX($D$3*J602,0.4*$D$3*J602+15*J602,MAX(柱工程量计算!$E$3:$F$72)-$E$3+15*J602)</f>
        <v>2900</v>
      </c>
      <c r="L602" s="50">
        <f t="shared" si="10"/>
        <v>17.320424000000003</v>
      </c>
      <c r="M602" s="189"/>
      <c r="N602" s="189"/>
      <c r="O602" s="189"/>
      <c r="P602" s="189"/>
      <c r="Q602" s="189"/>
    </row>
    <row r="603" spans="2:17" x14ac:dyDescent="0.15">
      <c r="B603" s="208"/>
      <c r="C603" s="209"/>
      <c r="D603" s="209"/>
      <c r="E603" s="209"/>
      <c r="F603" s="189"/>
      <c r="G603" s="189"/>
      <c r="H603" s="50" t="s">
        <v>113</v>
      </c>
      <c r="I603" s="50">
        <v>2</v>
      </c>
      <c r="J603" s="50">
        <v>20</v>
      </c>
      <c r="K603" s="49">
        <f>G600/4+MAX($D$3*J603,0.4*$D$3*J603+15*J603,MAX(柱工程量计算!$E$3:$F$72)-$E$3+15*J603)</f>
        <v>2370</v>
      </c>
      <c r="L603" s="50">
        <f t="shared" si="10"/>
        <v>11.698319999999999</v>
      </c>
      <c r="M603" s="189"/>
      <c r="N603" s="189"/>
      <c r="O603" s="189"/>
      <c r="P603" s="189"/>
      <c r="Q603" s="189"/>
    </row>
    <row r="604" spans="2:17" x14ac:dyDescent="0.15">
      <c r="B604" s="208"/>
      <c r="C604" s="209"/>
      <c r="D604" s="209"/>
      <c r="E604" s="209"/>
      <c r="F604" s="189"/>
      <c r="G604" s="189"/>
      <c r="H604" s="50" t="s">
        <v>152</v>
      </c>
      <c r="I604" s="50">
        <v>4</v>
      </c>
      <c r="J604" s="50">
        <v>22</v>
      </c>
      <c r="K604" s="49">
        <f>G600+2*IF((MAX(柱工程量计算!$E$3:$F$72)-$E$3)&gt;$D$3*J604,MAX($D$3*J604,0.5*MAX(柱工程量计算!$E$3:$F$72)+5*J604),MAX($D$3*J604,0.4*$D$3*J604+15*J604))</f>
        <v>7155</v>
      </c>
      <c r="L604" s="50">
        <f t="shared" si="10"/>
        <v>85.467333600000018</v>
      </c>
      <c r="M604" s="189"/>
      <c r="N604" s="189"/>
      <c r="O604" s="189"/>
      <c r="P604" s="189"/>
      <c r="Q604" s="189"/>
    </row>
    <row r="605" spans="2:17" x14ac:dyDescent="0.15">
      <c r="B605" s="208"/>
      <c r="C605" s="209"/>
      <c r="D605" s="209"/>
      <c r="E605" s="209"/>
      <c r="F605" s="189"/>
      <c r="G605" s="189"/>
      <c r="H605" s="50" t="s">
        <v>108</v>
      </c>
      <c r="I605" s="50">
        <f>2*((IF(B598="一级",MAX(2*F600,500),MAX(1.5*F600,500))-50)/100+1)+(G600-2*IF(B598="一级",MAX(2*F600,500),MAX(1.5*F600,500)))/200-1</f>
        <v>37.5</v>
      </c>
      <c r="J605" s="50">
        <v>8</v>
      </c>
      <c r="K605" s="50">
        <f>(E600-2*$E$3+2*J605)*2+(F600-2*$E$3+2*J605)*2+2*1.9*J605+2*MAX(10*J605,75)</f>
        <v>1514.4</v>
      </c>
      <c r="L605" s="50">
        <f t="shared" si="10"/>
        <v>22.425235200000003</v>
      </c>
      <c r="M605" s="189"/>
      <c r="N605" s="189"/>
      <c r="O605" s="189"/>
      <c r="P605" s="189"/>
      <c r="Q605" s="189"/>
    </row>
    <row r="606" spans="2:17" x14ac:dyDescent="0.15">
      <c r="B606" s="208"/>
      <c r="C606" s="209"/>
      <c r="D606" s="209"/>
      <c r="E606" s="209"/>
      <c r="F606" s="189"/>
      <c r="G606" s="189"/>
      <c r="H606" s="50" t="s">
        <v>132</v>
      </c>
      <c r="I606" s="50">
        <v>6</v>
      </c>
      <c r="J606" s="50">
        <v>8</v>
      </c>
      <c r="K606" s="49">
        <f>(E600-2*$E$3+2*J606)*2+(F600-2*$E$3+2*J606)*2+2*1.9*J606+2*MAX(10*J606,75)</f>
        <v>1514.4</v>
      </c>
      <c r="L606" s="50">
        <f t="shared" si="10"/>
        <v>3.5880376320000007</v>
      </c>
      <c r="M606" s="189"/>
      <c r="N606" s="189"/>
      <c r="O606" s="189"/>
      <c r="P606" s="189"/>
      <c r="Q606" s="189"/>
    </row>
    <row r="607" spans="2:17" x14ac:dyDescent="0.15">
      <c r="B607" s="208"/>
      <c r="C607" s="209"/>
      <c r="D607" s="209">
        <v>4</v>
      </c>
      <c r="E607" s="209">
        <v>250</v>
      </c>
      <c r="F607" s="189">
        <v>500</v>
      </c>
      <c r="G607" s="189">
        <v>6000</v>
      </c>
      <c r="H607" s="50" t="s">
        <v>111</v>
      </c>
      <c r="I607" s="50">
        <v>2</v>
      </c>
      <c r="J607" s="50">
        <v>22</v>
      </c>
      <c r="K607" s="49">
        <f>G607/3+MAX($D$3*J607,0.4*$D$3*J607+15*J607,MAX(柱工程量计算!$E$3:$F$72)-$E$3+15*J607)</f>
        <v>2900</v>
      </c>
      <c r="L607" s="50">
        <f t="shared" si="10"/>
        <v>17.320424000000003</v>
      </c>
      <c r="M607" s="189">
        <f>(2*F607+E607)*G607/10^6</f>
        <v>7.5</v>
      </c>
      <c r="N607" s="189">
        <f>PRODUCT(E607:G613)/10^9</f>
        <v>0.75</v>
      </c>
      <c r="O607" s="189">
        <f>SUM(L607:L613)</f>
        <v>168.647245207</v>
      </c>
      <c r="P607" s="189">
        <v>2</v>
      </c>
      <c r="Q607" s="189">
        <v>2</v>
      </c>
    </row>
    <row r="608" spans="2:17" x14ac:dyDescent="0.15">
      <c r="B608" s="208"/>
      <c r="C608" s="209"/>
      <c r="D608" s="209"/>
      <c r="E608" s="209"/>
      <c r="F608" s="189"/>
      <c r="G608" s="189"/>
      <c r="H608" s="50" t="s">
        <v>110</v>
      </c>
      <c r="I608" s="50">
        <v>2</v>
      </c>
      <c r="J608" s="50">
        <v>20</v>
      </c>
      <c r="K608" s="49">
        <f>G607/4+MAX($D$3*J608,0.4*$D$3*J608+15*J608,MAX(柱工程量计算!$E$3:$F$72)-$E$3+15*J608)</f>
        <v>2370</v>
      </c>
      <c r="L608" s="50">
        <f t="shared" si="10"/>
        <v>11.698319999999999</v>
      </c>
      <c r="M608" s="189"/>
      <c r="N608" s="189"/>
      <c r="O608" s="189"/>
      <c r="P608" s="189"/>
      <c r="Q608" s="189"/>
    </row>
    <row r="609" spans="2:17" x14ac:dyDescent="0.15">
      <c r="B609" s="208"/>
      <c r="C609" s="209"/>
      <c r="D609" s="209"/>
      <c r="E609" s="209"/>
      <c r="F609" s="189"/>
      <c r="G609" s="189"/>
      <c r="H609" s="50" t="s">
        <v>146</v>
      </c>
      <c r="I609" s="50">
        <v>2</v>
      </c>
      <c r="J609" s="50">
        <v>22</v>
      </c>
      <c r="K609" s="49">
        <f>G607/3+MAX($D$3*J609,0.4*$D$3*J609+15*J609,MAX(柱工程量计算!$E$3:$F$72)-$E$3+15*J609)</f>
        <v>2900</v>
      </c>
      <c r="L609" s="50">
        <f t="shared" si="10"/>
        <v>17.320424000000003</v>
      </c>
      <c r="M609" s="189"/>
      <c r="N609" s="189"/>
      <c r="O609" s="189"/>
      <c r="P609" s="189"/>
      <c r="Q609" s="189"/>
    </row>
    <row r="610" spans="2:17" x14ac:dyDescent="0.15">
      <c r="B610" s="208"/>
      <c r="C610" s="209"/>
      <c r="D610" s="209"/>
      <c r="E610" s="209"/>
      <c r="F610" s="189"/>
      <c r="G610" s="189"/>
      <c r="H610" s="50" t="s">
        <v>113</v>
      </c>
      <c r="I610" s="50">
        <v>2</v>
      </c>
      <c r="J610" s="50">
        <v>20</v>
      </c>
      <c r="K610" s="49">
        <f>G607/4+MAX($D$3*J610,0.4*$D$3*J610+15*J610,MAX(柱工程量计算!$E$3:$F$72)-$E$3+15*J610)</f>
        <v>2370</v>
      </c>
      <c r="L610" s="50">
        <f t="shared" si="10"/>
        <v>11.698319999999999</v>
      </c>
      <c r="M610" s="189"/>
      <c r="N610" s="189"/>
      <c r="O610" s="189"/>
      <c r="P610" s="189"/>
      <c r="Q610" s="189"/>
    </row>
    <row r="611" spans="2:17" x14ac:dyDescent="0.15">
      <c r="B611" s="208"/>
      <c r="C611" s="209"/>
      <c r="D611" s="209"/>
      <c r="E611" s="209"/>
      <c r="F611" s="189"/>
      <c r="G611" s="189"/>
      <c r="H611" s="50" t="s">
        <v>152</v>
      </c>
      <c r="I611" s="50">
        <v>3</v>
      </c>
      <c r="J611" s="50">
        <v>25</v>
      </c>
      <c r="K611" s="49">
        <f>G607+2*IF((MAX(柱工程量计算!$E$3:$F$72)-$E$3)&gt;$D$3*J611,MAX($D$3*J611,0.5*MAX(柱工程量计算!$E$3:$F$72)+5*J611),MAX($D$3*J611,0.4*$D$3*J611+15*J611))</f>
        <v>7312.5</v>
      </c>
      <c r="L611" s="50">
        <f t="shared" si="10"/>
        <v>84.596484375000003</v>
      </c>
      <c r="M611" s="189"/>
      <c r="N611" s="189"/>
      <c r="O611" s="189"/>
      <c r="P611" s="189"/>
      <c r="Q611" s="189"/>
    </row>
    <row r="612" spans="2:17" x14ac:dyDescent="0.15">
      <c r="B612" s="208"/>
      <c r="C612" s="209"/>
      <c r="D612" s="209"/>
      <c r="E612" s="209"/>
      <c r="F612" s="189"/>
      <c r="G612" s="189"/>
      <c r="H612" s="50" t="s">
        <v>108</v>
      </c>
      <c r="I612" s="50">
        <f>2*((IF(B605="一级",MAX(2*F607,500),MAX(1.5*F607,500))-50)/100+1)+(G607-2*IF(B605="一级",MAX(2*F607,500),MAX(1.5*F607,500)))/200-1</f>
        <v>37.5</v>
      </c>
      <c r="J612" s="50">
        <v>8</v>
      </c>
      <c r="K612" s="50">
        <f>(E607-2*$E$3+2*J612)*2+(F607-2*$E$3+2*J612)*2+2*1.9*J612+2*MAX(10*J612,75)</f>
        <v>1514.4</v>
      </c>
      <c r="L612" s="50">
        <f t="shared" si="10"/>
        <v>22.425235200000003</v>
      </c>
      <c r="M612" s="189"/>
      <c r="N612" s="189"/>
      <c r="O612" s="189"/>
      <c r="P612" s="189"/>
      <c r="Q612" s="189"/>
    </row>
    <row r="613" spans="2:17" x14ac:dyDescent="0.15">
      <c r="B613" s="208"/>
      <c r="C613" s="209"/>
      <c r="D613" s="209"/>
      <c r="E613" s="209"/>
      <c r="F613" s="189"/>
      <c r="G613" s="189"/>
      <c r="H613" s="50" t="s">
        <v>132</v>
      </c>
      <c r="I613" s="50">
        <v>6</v>
      </c>
      <c r="J613" s="50">
        <v>8</v>
      </c>
      <c r="K613" s="49">
        <f>(E607-2*$E$3+2*J613)*2+(F607-2*$E$3+2*J613)*2+2*1.9*J613+2*MAX(10*J613,75)</f>
        <v>1514.4</v>
      </c>
      <c r="L613" s="50">
        <f t="shared" si="10"/>
        <v>3.5880376320000007</v>
      </c>
      <c r="M613" s="189"/>
      <c r="N613" s="189"/>
      <c r="O613" s="189"/>
      <c r="P613" s="189"/>
      <c r="Q613" s="189"/>
    </row>
    <row r="614" spans="2:17" x14ac:dyDescent="0.15">
      <c r="B614" s="208"/>
      <c r="C614" s="209"/>
      <c r="D614" s="209">
        <v>4</v>
      </c>
      <c r="E614" s="209">
        <v>250</v>
      </c>
      <c r="F614" s="189">
        <v>500</v>
      </c>
      <c r="G614" s="189">
        <v>6000</v>
      </c>
      <c r="H614" s="50" t="s">
        <v>111</v>
      </c>
      <c r="I614" s="50">
        <v>2</v>
      </c>
      <c r="J614" s="50">
        <v>22</v>
      </c>
      <c r="K614" s="49">
        <f>G614/3+MAX($D$3*J614,0.4*$D$3*J614+15*J614,MAX(柱工程量计算!$E$3:$F$72)-$E$3+15*J614)</f>
        <v>2900</v>
      </c>
      <c r="L614" s="50">
        <f t="shared" si="10"/>
        <v>17.320424000000003</v>
      </c>
      <c r="M614" s="189">
        <f>(2*F614+E614)*G614/10^6</f>
        <v>7.5</v>
      </c>
      <c r="N614" s="189">
        <f>PRODUCT(E614:G620)/10^9</f>
        <v>0.75</v>
      </c>
      <c r="O614" s="189">
        <f>SUM(L614:L620)</f>
        <v>168.647245207</v>
      </c>
      <c r="P614" s="189"/>
      <c r="Q614" s="189">
        <v>4</v>
      </c>
    </row>
    <row r="615" spans="2:17" x14ac:dyDescent="0.15">
      <c r="B615" s="208"/>
      <c r="C615" s="209"/>
      <c r="D615" s="209"/>
      <c r="E615" s="209"/>
      <c r="F615" s="189"/>
      <c r="G615" s="189"/>
      <c r="H615" s="50" t="s">
        <v>110</v>
      </c>
      <c r="I615" s="50">
        <v>2</v>
      </c>
      <c r="J615" s="50">
        <v>20</v>
      </c>
      <c r="K615" s="49">
        <f>G614/4+MAX($D$3*J615,0.4*$D$3*J615+15*J615,MAX(柱工程量计算!$E$3:$F$72)-$E$3+15*J615)</f>
        <v>2370</v>
      </c>
      <c r="L615" s="50">
        <f t="shared" si="10"/>
        <v>11.698319999999999</v>
      </c>
      <c r="M615" s="189"/>
      <c r="N615" s="189"/>
      <c r="O615" s="189"/>
      <c r="P615" s="189"/>
      <c r="Q615" s="189"/>
    </row>
    <row r="616" spans="2:17" x14ac:dyDescent="0.15">
      <c r="B616" s="208"/>
      <c r="C616" s="209"/>
      <c r="D616" s="209"/>
      <c r="E616" s="209"/>
      <c r="F616" s="189"/>
      <c r="G616" s="189"/>
      <c r="H616" s="50" t="s">
        <v>146</v>
      </c>
      <c r="I616" s="50">
        <v>2</v>
      </c>
      <c r="J616" s="50">
        <v>22</v>
      </c>
      <c r="K616" s="49">
        <f>G614/3+MAX($D$3*J616,0.4*$D$3*J616+15*J616,MAX(柱工程量计算!$E$3:$F$72)-$E$3+15*J616)</f>
        <v>2900</v>
      </c>
      <c r="L616" s="50">
        <f t="shared" si="10"/>
        <v>17.320424000000003</v>
      </c>
      <c r="M616" s="189"/>
      <c r="N616" s="189"/>
      <c r="O616" s="189"/>
      <c r="P616" s="189"/>
      <c r="Q616" s="189"/>
    </row>
    <row r="617" spans="2:17" x14ac:dyDescent="0.15">
      <c r="B617" s="208"/>
      <c r="C617" s="209"/>
      <c r="D617" s="209"/>
      <c r="E617" s="209"/>
      <c r="F617" s="189"/>
      <c r="G617" s="189"/>
      <c r="H617" s="50" t="s">
        <v>113</v>
      </c>
      <c r="I617" s="50">
        <v>2</v>
      </c>
      <c r="J617" s="50">
        <v>20</v>
      </c>
      <c r="K617" s="49">
        <f>G614/4+MAX($D$3*J617,0.4*$D$3*J617+15*J617,MAX(柱工程量计算!$E$3:$F$72)-$E$3+15*J617)</f>
        <v>2370</v>
      </c>
      <c r="L617" s="50">
        <f t="shared" si="10"/>
        <v>11.698319999999999</v>
      </c>
      <c r="M617" s="189"/>
      <c r="N617" s="189"/>
      <c r="O617" s="189"/>
      <c r="P617" s="189"/>
      <c r="Q617" s="189"/>
    </row>
    <row r="618" spans="2:17" x14ac:dyDescent="0.15">
      <c r="B618" s="208"/>
      <c r="C618" s="209"/>
      <c r="D618" s="209"/>
      <c r="E618" s="209"/>
      <c r="F618" s="189"/>
      <c r="G618" s="189"/>
      <c r="H618" s="50" t="s">
        <v>152</v>
      </c>
      <c r="I618" s="50">
        <v>3</v>
      </c>
      <c r="J618" s="50">
        <v>25</v>
      </c>
      <c r="K618" s="49">
        <f>G614+2*IF((MAX(柱工程量计算!$E$3:$F$72)-$E$3)&gt;$D$3*J618,MAX($D$3*J618,0.5*MAX(柱工程量计算!$E$3:$F$72)+5*J618),MAX($D$3*J618,0.4*$D$3*J618+15*J618))</f>
        <v>7312.5</v>
      </c>
      <c r="L618" s="50">
        <f t="shared" si="10"/>
        <v>84.596484375000003</v>
      </c>
      <c r="M618" s="189"/>
      <c r="N618" s="189"/>
      <c r="O618" s="189"/>
      <c r="P618" s="189"/>
      <c r="Q618" s="189"/>
    </row>
    <row r="619" spans="2:17" x14ac:dyDescent="0.15">
      <c r="B619" s="208"/>
      <c r="C619" s="209"/>
      <c r="D619" s="209"/>
      <c r="E619" s="209"/>
      <c r="F619" s="189"/>
      <c r="G619" s="189"/>
      <c r="H619" s="50" t="s">
        <v>108</v>
      </c>
      <c r="I619" s="50">
        <f>2*((IF(B612="一级",MAX(2*F614,500),MAX(1.5*F614,500))-50)/100+1)+(G614-2*IF(B612="一级",MAX(2*F614,500),MAX(1.5*F614,500)))/200-1</f>
        <v>37.5</v>
      </c>
      <c r="J619" s="50">
        <v>8</v>
      </c>
      <c r="K619" s="50">
        <f>(E614-2*$E$3+2*J619)*2+(F614-2*$E$3+2*J619)*2+2*1.9*J619+2*MAX(10*J619,75)</f>
        <v>1514.4</v>
      </c>
      <c r="L619" s="50">
        <f t="shared" si="10"/>
        <v>22.425235200000003</v>
      </c>
      <c r="M619" s="189"/>
      <c r="N619" s="189"/>
      <c r="O619" s="189"/>
      <c r="P619" s="189"/>
      <c r="Q619" s="189"/>
    </row>
    <row r="620" spans="2:17" x14ac:dyDescent="0.15">
      <c r="B620" s="208"/>
      <c r="C620" s="209"/>
      <c r="D620" s="209"/>
      <c r="E620" s="209"/>
      <c r="F620" s="189"/>
      <c r="G620" s="189"/>
      <c r="H620" s="50" t="s">
        <v>132</v>
      </c>
      <c r="I620" s="50">
        <v>6</v>
      </c>
      <c r="J620" s="50">
        <v>8</v>
      </c>
      <c r="K620" s="49">
        <f>(E614-2*$E$3+2*J620)*2+(F614-2*$E$3+2*J620)*2+2*1.9*J620+2*MAX(10*J620,75)</f>
        <v>1514.4</v>
      </c>
      <c r="L620" s="50">
        <f t="shared" si="10"/>
        <v>3.5880376320000007</v>
      </c>
      <c r="M620" s="189"/>
      <c r="N620" s="189"/>
      <c r="O620" s="189"/>
      <c r="P620" s="189"/>
      <c r="Q620" s="189"/>
    </row>
    <row r="621" spans="2:17" x14ac:dyDescent="0.15">
      <c r="B621" s="208"/>
      <c r="C621" s="209" t="s">
        <v>136</v>
      </c>
      <c r="D621" s="209">
        <v>12</v>
      </c>
      <c r="E621" s="209">
        <v>250</v>
      </c>
      <c r="F621" s="189">
        <v>400</v>
      </c>
      <c r="G621" s="189">
        <v>6000</v>
      </c>
      <c r="H621" s="50" t="s">
        <v>152</v>
      </c>
      <c r="I621" s="50">
        <v>2</v>
      </c>
      <c r="J621" s="50">
        <v>25</v>
      </c>
      <c r="K621" s="49">
        <f>G621+2*IF((MAX(柱工程量计算!$E$3:$F$72)-$E$3)&gt;$D$3*J621,MAX($D$3*J621,0.5*MAX(柱工程量计算!$E$3:$F$72)+5*J621,MAX($D$3*J621,0.4*$D$3*J621+15*J621)))</f>
        <v>6000</v>
      </c>
      <c r="L621" s="50">
        <f t="shared" si="10"/>
        <v>46.274999999999999</v>
      </c>
      <c r="M621" s="189">
        <f>(2*F621+E621)*G621/10^6</f>
        <v>6.3</v>
      </c>
      <c r="N621" s="189">
        <f>PRODUCT(E621:G623)/10^9</f>
        <v>0.6</v>
      </c>
      <c r="O621" s="189">
        <f>SUM(L621:L623)</f>
        <v>89.872644496000007</v>
      </c>
      <c r="P621" s="189">
        <v>6</v>
      </c>
      <c r="Q621" s="189">
        <v>6</v>
      </c>
    </row>
    <row r="622" spans="2:17" x14ac:dyDescent="0.15">
      <c r="B622" s="208"/>
      <c r="C622" s="209"/>
      <c r="D622" s="209"/>
      <c r="E622" s="209"/>
      <c r="F622" s="189"/>
      <c r="G622" s="189"/>
      <c r="H622" s="50" t="s">
        <v>129</v>
      </c>
      <c r="I622" s="50">
        <v>2</v>
      </c>
      <c r="J622" s="50">
        <v>18</v>
      </c>
      <c r="K622" s="49">
        <f>G621+2*IF((MAX(柱工程量计算!$E$3:$F$72)-$E$3)&gt;$D$3*J622,MAX($D$3*J622,0.5*MAX(柱工程量计算!$E$3:$F$72)+5*J622),MAX($D$3*J622,0.4*$D$3*J622+15*J622))</f>
        <v>6945</v>
      </c>
      <c r="L622" s="50">
        <f t="shared" si="10"/>
        <v>27.767221200000005</v>
      </c>
      <c r="M622" s="189"/>
      <c r="N622" s="189"/>
      <c r="O622" s="189"/>
      <c r="P622" s="189"/>
      <c r="Q622" s="189"/>
    </row>
    <row r="623" spans="2:17" x14ac:dyDescent="0.15">
      <c r="B623" s="208"/>
      <c r="C623" s="209"/>
      <c r="D623" s="209"/>
      <c r="E623" s="209"/>
      <c r="F623" s="189"/>
      <c r="G623" s="189"/>
      <c r="H623" s="50" t="s">
        <v>108</v>
      </c>
      <c r="I623" s="50">
        <f>2*((IF($B$3="一级",MAX(2*F621,500),MAX(1.5*F621,500))-50)/200+1)+(G621-2*IF($B$3="一级",MAX(2*F621,500),MAX(1.5*F621,500)))/200-1</f>
        <v>30.5</v>
      </c>
      <c r="J623" s="50">
        <v>8</v>
      </c>
      <c r="K623" s="50">
        <f>(E621-2*$E$3+2*J623)*2+(F621-2*$E$3+2*J623)*2+2*1.9*J623+2*MAX(10*J623,75)</f>
        <v>1314.4</v>
      </c>
      <c r="L623" s="50">
        <f t="shared" si="10"/>
        <v>15.830423296000003</v>
      </c>
      <c r="M623" s="189"/>
      <c r="N623" s="189"/>
      <c r="O623" s="189"/>
      <c r="P623" s="189"/>
      <c r="Q623" s="189"/>
    </row>
    <row r="624" spans="2:17" x14ac:dyDescent="0.15">
      <c r="B624" s="69"/>
      <c r="P624" s="40"/>
      <c r="Q624" s="94"/>
    </row>
    <row r="625" spans="2:17" x14ac:dyDescent="0.15">
      <c r="B625" s="69"/>
      <c r="P625" s="40"/>
      <c r="Q625" s="94"/>
    </row>
    <row r="626" spans="2:17" x14ac:dyDescent="0.15">
      <c r="B626" s="69"/>
      <c r="P626" s="40"/>
      <c r="Q626" s="94"/>
    </row>
    <row r="627" spans="2:17" x14ac:dyDescent="0.15">
      <c r="B627" s="69"/>
      <c r="P627" s="40"/>
      <c r="Q627" s="94"/>
    </row>
    <row r="628" spans="2:17" x14ac:dyDescent="0.15">
      <c r="B628" s="69"/>
      <c r="P628" s="40"/>
      <c r="Q628" s="94"/>
    </row>
    <row r="629" spans="2:17" x14ac:dyDescent="0.15">
      <c r="B629" s="69"/>
      <c r="P629" s="40"/>
      <c r="Q629" s="94"/>
    </row>
    <row r="630" spans="2:17" x14ac:dyDescent="0.15">
      <c r="B630" s="69"/>
      <c r="P630" s="40"/>
      <c r="Q630" s="94"/>
    </row>
    <row r="631" spans="2:17" x14ac:dyDescent="0.15">
      <c r="B631" s="69"/>
      <c r="C631" s="67"/>
      <c r="D631" s="67"/>
      <c r="E631" s="67"/>
      <c r="F631" s="68"/>
      <c r="G631" s="68"/>
      <c r="H631" s="51"/>
      <c r="I631" s="51"/>
      <c r="J631" s="51"/>
      <c r="K631" s="66"/>
      <c r="P631" s="40"/>
      <c r="Q631" s="94"/>
    </row>
    <row r="632" spans="2:17" x14ac:dyDescent="0.15">
      <c r="B632" s="69"/>
      <c r="C632" s="67"/>
      <c r="D632" s="67"/>
      <c r="E632" s="67"/>
      <c r="F632" s="68"/>
      <c r="G632" s="68"/>
      <c r="H632" s="51"/>
      <c r="I632" s="51"/>
      <c r="J632" s="51"/>
      <c r="K632" s="66"/>
      <c r="P632" s="40"/>
      <c r="Q632" s="94"/>
    </row>
    <row r="633" spans="2:17" x14ac:dyDescent="0.15">
      <c r="B633" s="69"/>
      <c r="C633" s="67"/>
      <c r="D633" s="67"/>
      <c r="E633" s="67"/>
      <c r="F633" s="68"/>
      <c r="G633" s="68"/>
      <c r="H633" s="51"/>
      <c r="I633" s="51"/>
      <c r="J633" s="51"/>
      <c r="K633" s="51"/>
      <c r="P633" s="40"/>
      <c r="Q633" s="94"/>
    </row>
    <row r="634" spans="2:17" ht="14.25" thickBot="1" x14ac:dyDescent="0.2">
      <c r="B634" s="69"/>
      <c r="C634" s="67"/>
      <c r="D634" s="67"/>
      <c r="E634" s="67"/>
      <c r="F634" s="68"/>
      <c r="G634" s="68"/>
      <c r="H634" s="51"/>
      <c r="I634" s="51"/>
      <c r="J634" s="51"/>
      <c r="K634" s="66"/>
      <c r="P634" s="40"/>
      <c r="Q634" s="94"/>
    </row>
    <row r="635" spans="2:17" x14ac:dyDescent="0.15">
      <c r="B635" s="69"/>
      <c r="C635" s="210" t="s">
        <v>158</v>
      </c>
      <c r="D635" s="213" t="s">
        <v>106</v>
      </c>
      <c r="E635" s="214"/>
      <c r="F635" s="213">
        <v>15300</v>
      </c>
      <c r="G635" s="214"/>
      <c r="H635" s="72" t="s">
        <v>103</v>
      </c>
      <c r="I635" s="72">
        <v>2</v>
      </c>
      <c r="J635" s="72">
        <v>16</v>
      </c>
      <c r="K635" s="73">
        <f>F635+2*IF((MAX(柱工程量计算!$E$3:$F$72)-$E$3)&gt;$D$3*J635,MAX($D$3*J635,0.5*MAX(柱工程量计算!$E$3:$F$72)+5*J635,MAX($D$3*J635,0.4*$D$3*J635+15*J635)))</f>
        <v>16140</v>
      </c>
      <c r="P635" s="40"/>
      <c r="Q635" s="94"/>
    </row>
    <row r="636" spans="2:17" x14ac:dyDescent="0.15">
      <c r="B636" s="69"/>
      <c r="C636" s="211"/>
      <c r="D636" s="215"/>
      <c r="E636" s="216"/>
      <c r="F636" s="215"/>
      <c r="G636" s="216"/>
      <c r="H636" s="74" t="s">
        <v>100</v>
      </c>
      <c r="I636" s="74">
        <v>4</v>
      </c>
      <c r="J636" s="74">
        <v>12</v>
      </c>
      <c r="K636" s="75">
        <f>IF(F637&gt;=450,F635+2*IF((MAX(柱工程量计算!$E$3:$F$72)-$E$3)&gt;$D$3*J636,MAX($D$3*J636,0.5*MAX(柱工程量计算!$E$3:$F$72)+5*J636),MAX($D$3*J636,0.4*$D$3*J636+15*J636)),F635+15*J636)</f>
        <v>16020</v>
      </c>
      <c r="P636" s="40"/>
      <c r="Q636" s="94"/>
    </row>
    <row r="637" spans="2:17" x14ac:dyDescent="0.15">
      <c r="B637" s="69"/>
      <c r="C637" s="211"/>
      <c r="D637" s="76">
        <v>1</v>
      </c>
      <c r="E637" s="76">
        <v>250</v>
      </c>
      <c r="F637" s="77">
        <v>500</v>
      </c>
      <c r="G637" s="77">
        <v>6000</v>
      </c>
      <c r="H637" s="74" t="s">
        <v>111</v>
      </c>
      <c r="I637" s="74">
        <v>2</v>
      </c>
      <c r="J637" s="74">
        <v>16</v>
      </c>
      <c r="K637" s="75">
        <f>G637/3+MAX($D$3*J637,0.4*$D$3*J637+15*J637,MAX(柱工程量计算!$E$3:$F$72)-$E$3+15*J637)</f>
        <v>2810</v>
      </c>
      <c r="P637" s="40"/>
      <c r="Q637" s="94"/>
    </row>
    <row r="638" spans="2:17" x14ac:dyDescent="0.15">
      <c r="B638" s="69"/>
      <c r="C638" s="211"/>
      <c r="D638" s="78"/>
      <c r="E638" s="78"/>
      <c r="F638" s="79"/>
      <c r="G638" s="79"/>
      <c r="H638" s="74" t="s">
        <v>110</v>
      </c>
      <c r="I638" s="74">
        <v>1</v>
      </c>
      <c r="J638" s="74">
        <v>14</v>
      </c>
      <c r="K638" s="75">
        <f>G637/4+MAX($D$3*J638,0.4*$D$3*J638+15*J638,MAX(柱工程量计算!$E$3:$F$72)-$E$3+15*J638)</f>
        <v>2280</v>
      </c>
      <c r="P638" s="40"/>
      <c r="Q638" s="94"/>
    </row>
    <row r="639" spans="2:17" x14ac:dyDescent="0.15">
      <c r="B639" s="69"/>
      <c r="C639" s="211"/>
      <c r="D639" s="78"/>
      <c r="E639" s="78"/>
      <c r="F639" s="79"/>
      <c r="G639" s="79"/>
      <c r="H639" s="74" t="s">
        <v>146</v>
      </c>
      <c r="I639" s="74">
        <v>2</v>
      </c>
      <c r="J639" s="74">
        <v>16</v>
      </c>
      <c r="K639" s="75">
        <f>G637/3+MAX($D$3*J639,0.4*$D$3*J639+15*J639,MAX(柱工程量计算!$E$3:$F$72)-$E$3+15*J639)</f>
        <v>2810</v>
      </c>
      <c r="P639" s="40"/>
      <c r="Q639" s="94"/>
    </row>
    <row r="640" spans="2:17" x14ac:dyDescent="0.15">
      <c r="B640" s="69"/>
      <c r="C640" s="211"/>
      <c r="D640" s="78"/>
      <c r="E640" s="78"/>
      <c r="F640" s="79"/>
      <c r="G640" s="79"/>
      <c r="H640" s="74" t="s">
        <v>113</v>
      </c>
      <c r="I640" s="74">
        <v>1</v>
      </c>
      <c r="J640" s="74">
        <v>14</v>
      </c>
      <c r="K640" s="75">
        <f>G637/4+MAX($D$3*J640,0.4*$D$3*J640+15*J640,MAX(柱工程量计算!$E$3:$F$72)-$E$3+15*J640)</f>
        <v>2280</v>
      </c>
      <c r="P640" s="40"/>
      <c r="Q640" s="94"/>
    </row>
    <row r="641" spans="2:17" x14ac:dyDescent="0.15">
      <c r="B641" s="69"/>
      <c r="C641" s="211"/>
      <c r="D641" s="78"/>
      <c r="E641" s="78"/>
      <c r="F641" s="79"/>
      <c r="G641" s="79"/>
      <c r="H641" s="74" t="s">
        <v>121</v>
      </c>
      <c r="I641" s="74">
        <v>2</v>
      </c>
      <c r="J641" s="74">
        <v>18</v>
      </c>
      <c r="K641" s="75">
        <f>G637+2*IF((MAX(柱工程量计算!$E$3:$F$72)-$E$3)&gt;$D$3*J641,MAX($D$3*J641,0.5*MAX(柱工程量计算!$E$3:$F$72)+5*J641),MAX($D$3*J641,0.4*$D$3*J641+15*J641))</f>
        <v>6945</v>
      </c>
      <c r="P641" s="40"/>
      <c r="Q641" s="94"/>
    </row>
    <row r="642" spans="2:17" x14ac:dyDescent="0.15">
      <c r="B642" s="69"/>
      <c r="C642" s="211"/>
      <c r="D642" s="78"/>
      <c r="E642" s="78"/>
      <c r="F642" s="79"/>
      <c r="G642" s="79"/>
      <c r="H642" s="74" t="s">
        <v>120</v>
      </c>
      <c r="I642" s="74">
        <v>2</v>
      </c>
      <c r="J642" s="74">
        <v>14</v>
      </c>
      <c r="K642" s="75">
        <f>G637+2*IF((MAX(柱工程量计算!$E$3:$F$72)-$E$3)&gt;$D$3*J642,MAX($D$3*J642,0.5*MAX(柱工程量计算!$E$3:$F$72)+5*J642),MAX($D$3*J642,0.4*$D$3*J642+15*J642))</f>
        <v>6740</v>
      </c>
      <c r="P642" s="40"/>
      <c r="Q642" s="94"/>
    </row>
    <row r="643" spans="2:17" x14ac:dyDescent="0.15">
      <c r="B643" s="69"/>
      <c r="C643" s="211"/>
      <c r="D643" s="80"/>
      <c r="E643" s="80"/>
      <c r="F643" s="81"/>
      <c r="G643" s="81"/>
      <c r="H643" s="74" t="s">
        <v>108</v>
      </c>
      <c r="I643" s="74">
        <f>2*((IF(B618="一级",MAX(2*F637,500),MAX(1.5*F637,500))-50)/100+1)+(G637-2*IF(B618="一级",MAX(2*F637,500),MAX(1.5*F637,500)))/200-1</f>
        <v>37.5</v>
      </c>
      <c r="J643" s="74">
        <v>8</v>
      </c>
      <c r="K643" s="75">
        <f>(E637-2*$E$3+2*J643)*2+(F637-2*$E$3+2*J643)*2+2*1.9*J643+2*MAX(10*J643,75)</f>
        <v>1514.4</v>
      </c>
      <c r="P643" s="40"/>
      <c r="Q643" s="94"/>
    </row>
    <row r="644" spans="2:17" x14ac:dyDescent="0.15">
      <c r="B644" s="69"/>
      <c r="C644" s="211"/>
      <c r="D644" s="76">
        <v>1</v>
      </c>
      <c r="E644" s="76">
        <v>300</v>
      </c>
      <c r="F644" s="77">
        <v>350</v>
      </c>
      <c r="G644" s="77">
        <v>2100</v>
      </c>
      <c r="H644" s="74" t="s">
        <v>105</v>
      </c>
      <c r="I644" s="74">
        <v>3</v>
      </c>
      <c r="J644" s="74">
        <v>18</v>
      </c>
      <c r="K644" s="75">
        <f>G644-G644/3*2+150*2</f>
        <v>1000</v>
      </c>
      <c r="P644" s="40"/>
      <c r="Q644" s="94"/>
    </row>
    <row r="645" spans="2:17" x14ac:dyDescent="0.15">
      <c r="B645" s="69"/>
      <c r="C645" s="211"/>
      <c r="D645" s="78"/>
      <c r="E645" s="78"/>
      <c r="F645" s="79"/>
      <c r="G645" s="79"/>
      <c r="H645" s="74" t="s">
        <v>95</v>
      </c>
      <c r="I645" s="74">
        <v>3</v>
      </c>
      <c r="J645" s="74">
        <v>18</v>
      </c>
      <c r="K645" s="75">
        <f>G644/3+MAX($D$3*J645,0.4*$D$3*J645+15*J645,MAX(柱工程量计算!$E$3:$F$72)-$E$3+15*J645)</f>
        <v>1540</v>
      </c>
      <c r="P645" s="40"/>
      <c r="Q645" s="94"/>
    </row>
    <row r="646" spans="2:17" x14ac:dyDescent="0.15">
      <c r="B646" s="69"/>
      <c r="C646" s="211"/>
      <c r="D646" s="78"/>
      <c r="E646" s="78"/>
      <c r="F646" s="79"/>
      <c r="G646" s="79"/>
      <c r="H646" s="74" t="s">
        <v>98</v>
      </c>
      <c r="I646" s="74">
        <v>3</v>
      </c>
      <c r="J646" s="74">
        <v>18</v>
      </c>
      <c r="K646" s="75">
        <f>G644/3+MAX($D$3*J646,0.4*$D$3*J646+15*J646,MAX(柱工程量计算!$E$3:$F$72)-$E$3+15*J646)</f>
        <v>1540</v>
      </c>
      <c r="P646" s="40"/>
      <c r="Q646" s="94"/>
    </row>
    <row r="647" spans="2:17" x14ac:dyDescent="0.15">
      <c r="B647" s="69"/>
      <c r="C647" s="211"/>
      <c r="D647" s="78"/>
      <c r="E647" s="78"/>
      <c r="F647" s="79"/>
      <c r="G647" s="79"/>
      <c r="H647" s="74" t="s">
        <v>116</v>
      </c>
      <c r="I647" s="74">
        <v>3</v>
      </c>
      <c r="J647" s="74">
        <v>14</v>
      </c>
      <c r="K647" s="75">
        <f>G644+2*IF((MAX(柱工程量计算!$E$3:$F$72)-$E$3)&gt;$D$3*J647,MAX($D$3*J647,0.5*MAX(柱工程量计算!$E$3:$F$72)+5*J647),MAX($D$3*J647,0.4*$D$3*J647+15*J647))</f>
        <v>2840</v>
      </c>
      <c r="P647" s="40"/>
      <c r="Q647" s="94"/>
    </row>
    <row r="648" spans="2:17" x14ac:dyDescent="0.15">
      <c r="B648" s="69"/>
      <c r="C648" s="211"/>
      <c r="D648" s="80"/>
      <c r="E648" s="80"/>
      <c r="F648" s="81"/>
      <c r="G648" s="81"/>
      <c r="H648" s="74" t="s">
        <v>108</v>
      </c>
      <c r="I648" s="74">
        <f>2*((IF($B$3="一级",MAX(2*F644,500),MAX(1.5*F644,500))-50)/85+1)+(G644-2*IF($B$3="一级",MAX(2*F644,500),MAX(1.5*F644,500)))/170-1</f>
        <v>18.352941176470587</v>
      </c>
      <c r="J648" s="74">
        <v>8</v>
      </c>
      <c r="K648" s="75">
        <f>(E644-2*$E$3+2*J648)*2+(F644-2*$E$3+2*J648)*2+2*1.9*J648+2*MAX(10*J648,75)</f>
        <v>1314.4</v>
      </c>
      <c r="P648" s="40"/>
      <c r="Q648" s="94"/>
    </row>
    <row r="649" spans="2:17" x14ac:dyDescent="0.15">
      <c r="B649" s="69"/>
      <c r="C649" s="211"/>
      <c r="D649" s="76">
        <v>1</v>
      </c>
      <c r="E649" s="76">
        <v>250</v>
      </c>
      <c r="F649" s="77">
        <v>500</v>
      </c>
      <c r="G649" s="77">
        <v>6000</v>
      </c>
      <c r="H649" s="74" t="s">
        <v>111</v>
      </c>
      <c r="I649" s="74">
        <v>2</v>
      </c>
      <c r="J649" s="74">
        <v>22</v>
      </c>
      <c r="K649" s="75">
        <f>G649/3+MAX($D$3*J649,0.4*$D$3*J649+15*J649,MAX(柱工程量计算!$E$3:$F$72)-$E$3+15*J649)</f>
        <v>2900</v>
      </c>
      <c r="P649" s="40"/>
      <c r="Q649" s="94"/>
    </row>
    <row r="650" spans="2:17" x14ac:dyDescent="0.15">
      <c r="B650" s="69"/>
      <c r="C650" s="211"/>
      <c r="D650" s="78"/>
      <c r="E650" s="78"/>
      <c r="F650" s="79"/>
      <c r="G650" s="79"/>
      <c r="H650" s="74" t="s">
        <v>110</v>
      </c>
      <c r="I650" s="74">
        <v>1</v>
      </c>
      <c r="J650" s="74">
        <v>20</v>
      </c>
      <c r="K650" s="75">
        <f>G649/3+MAX($D$3*J650,0.4*$D$3*J650+15*J650,MAX(柱工程量计算!$E$3:$F$72)-$E$3+15*J650)</f>
        <v>2870</v>
      </c>
      <c r="P650" s="40"/>
      <c r="Q650" s="94"/>
    </row>
    <row r="651" spans="2:17" x14ac:dyDescent="0.15">
      <c r="B651" s="69"/>
      <c r="C651" s="211"/>
      <c r="D651" s="78"/>
      <c r="E651" s="78"/>
      <c r="F651" s="79"/>
      <c r="G651" s="79"/>
      <c r="H651" s="74" t="s">
        <v>146</v>
      </c>
      <c r="I651" s="74">
        <v>2</v>
      </c>
      <c r="J651" s="74">
        <v>22</v>
      </c>
      <c r="K651" s="75">
        <f>G649/3+MAX($D$3*J651,0.4*$D$3*J651+15*J651,MAX(柱工程量计算!$E$3:$F$72)-$E$3+15*J651)</f>
        <v>2900</v>
      </c>
      <c r="P651" s="40"/>
      <c r="Q651" s="94"/>
    </row>
    <row r="652" spans="2:17" x14ac:dyDescent="0.15">
      <c r="B652" s="69"/>
      <c r="C652" s="211"/>
      <c r="D652" s="78"/>
      <c r="E652" s="78"/>
      <c r="F652" s="79"/>
      <c r="G652" s="79"/>
      <c r="H652" s="74" t="s">
        <v>113</v>
      </c>
      <c r="I652" s="74">
        <v>2</v>
      </c>
      <c r="J652" s="74">
        <v>20</v>
      </c>
      <c r="K652" s="75">
        <f>G649/4+MAX($D$3*J652,0.4*$D$3*J652+15*J652,MAX(柱工程量计算!$E$3:$F$72)-$E$3+15*J652)</f>
        <v>2370</v>
      </c>
      <c r="P652" s="40"/>
      <c r="Q652" s="94"/>
    </row>
    <row r="653" spans="2:17" x14ac:dyDescent="0.15">
      <c r="B653" s="69"/>
      <c r="C653" s="211"/>
      <c r="D653" s="78"/>
      <c r="E653" s="78"/>
      <c r="F653" s="79"/>
      <c r="G653" s="79"/>
      <c r="H653" s="74" t="s">
        <v>115</v>
      </c>
      <c r="I653" s="74">
        <v>2</v>
      </c>
      <c r="J653" s="74">
        <v>18</v>
      </c>
      <c r="K653" s="75">
        <f>G649+2*IF((MAX(柱工程量计算!$E$3:$F$72)-$E$3)&gt;$D$3*J653,MAX($D$3*J653,0.5*MAX(柱工程量计算!$E$3:$F$72)+5*J653),MAX($D$3*J653,0.4*$D$3*J653+15*J653))</f>
        <v>6945</v>
      </c>
      <c r="P653" s="40"/>
      <c r="Q653" s="94"/>
    </row>
    <row r="654" spans="2:17" x14ac:dyDescent="0.15">
      <c r="B654" s="69"/>
      <c r="C654" s="211"/>
      <c r="D654" s="78"/>
      <c r="E654" s="78"/>
      <c r="F654" s="79"/>
      <c r="G654" s="79"/>
      <c r="H654" s="74" t="s">
        <v>116</v>
      </c>
      <c r="I654" s="74">
        <v>2</v>
      </c>
      <c r="J654" s="74">
        <v>14</v>
      </c>
      <c r="K654" s="75">
        <f>G649+2*IF((MAX(柱工程量计算!$E$3:$F$72)-$E$3)&gt;$D$3*J654,MAX($D$3*J654,0.5*MAX(柱工程量计算!$E$3:$F$72)+5*J654),MAX($D$3*J654,0.4*$D$3*J654+15*J654))</f>
        <v>6740</v>
      </c>
      <c r="P654" s="40"/>
      <c r="Q654" s="94"/>
    </row>
    <row r="655" spans="2:17" ht="14.25" thickBot="1" x14ac:dyDescent="0.2">
      <c r="B655" s="69"/>
      <c r="C655" s="212"/>
      <c r="D655" s="82"/>
      <c r="E655" s="82"/>
      <c r="F655" s="83"/>
      <c r="G655" s="83"/>
      <c r="H655" s="84" t="s">
        <v>108</v>
      </c>
      <c r="I655" s="84">
        <f>2*((IF($B$3="一级",MAX(2*F649,500),MAX(1.5*F649,500))-50)/100+1)+(G649-2*IF($B$3="一级",MAX(2*F649,500),MAX(1.5*F649,500)))/200-1</f>
        <v>37.5</v>
      </c>
      <c r="J655" s="84">
        <v>8</v>
      </c>
      <c r="K655" s="85">
        <f>(E649-2*$E$3+2*J655)*2+(F649-2*$E$3+2*J655)*2+2*1.9*J655+2*MAX(10*J655,75)</f>
        <v>1514.4</v>
      </c>
      <c r="P655" s="40"/>
      <c r="Q655" s="94"/>
    </row>
    <row r="656" spans="2:17" x14ac:dyDescent="0.15">
      <c r="B656" s="69"/>
      <c r="C656" s="67"/>
      <c r="D656" s="67"/>
      <c r="E656" s="67"/>
      <c r="F656" s="68"/>
      <c r="G656" s="68"/>
      <c r="H656" s="51"/>
      <c r="I656" s="51"/>
      <c r="J656" s="51"/>
      <c r="K656" s="51"/>
      <c r="P656" s="40"/>
      <c r="Q656" s="94"/>
    </row>
    <row r="657" spans="2:17" x14ac:dyDescent="0.15">
      <c r="B657" s="69"/>
      <c r="C657" s="67"/>
      <c r="D657" s="67"/>
      <c r="E657" s="67"/>
      <c r="F657" s="68"/>
      <c r="G657" s="68"/>
      <c r="H657" s="51"/>
      <c r="I657" s="51"/>
      <c r="J657" s="51"/>
      <c r="K657" s="66"/>
      <c r="P657" s="40"/>
      <c r="Q657" s="94"/>
    </row>
    <row r="658" spans="2:17" x14ac:dyDescent="0.15">
      <c r="B658" s="69"/>
      <c r="C658" s="67"/>
      <c r="D658" s="68"/>
      <c r="E658" s="68"/>
      <c r="F658" s="68"/>
      <c r="G658" s="68"/>
      <c r="H658" s="51"/>
      <c r="I658" s="51"/>
      <c r="J658" s="51"/>
      <c r="K658" s="66"/>
      <c r="P658" s="40"/>
      <c r="Q658" s="94"/>
    </row>
    <row r="659" spans="2:17" x14ac:dyDescent="0.15">
      <c r="B659" s="69"/>
      <c r="C659" s="67"/>
      <c r="D659" s="68"/>
      <c r="E659" s="68"/>
      <c r="F659" s="68"/>
      <c r="G659" s="68"/>
      <c r="H659" s="51"/>
      <c r="I659" s="51"/>
      <c r="J659" s="51"/>
      <c r="K659" s="66"/>
      <c r="P659" s="40"/>
      <c r="Q659" s="94"/>
    </row>
    <row r="660" spans="2:17" x14ac:dyDescent="0.15">
      <c r="B660" s="69"/>
      <c r="C660" s="67"/>
      <c r="D660" s="67"/>
      <c r="E660" s="67"/>
      <c r="F660" s="68"/>
      <c r="G660" s="68"/>
      <c r="H660" s="51"/>
      <c r="I660" s="51"/>
      <c r="J660" s="51"/>
      <c r="K660" s="66"/>
      <c r="P660" s="40"/>
      <c r="Q660" s="94"/>
    </row>
    <row r="661" spans="2:17" x14ac:dyDescent="0.15">
      <c r="B661" s="69"/>
      <c r="C661" s="67"/>
      <c r="D661" s="67"/>
      <c r="E661" s="67"/>
      <c r="F661" s="68"/>
      <c r="G661" s="68"/>
      <c r="H661" s="51"/>
      <c r="I661" s="51"/>
      <c r="J661" s="51"/>
      <c r="K661" s="66"/>
      <c r="P661" s="40"/>
      <c r="Q661" s="94"/>
    </row>
    <row r="662" spans="2:17" x14ac:dyDescent="0.15">
      <c r="B662" s="69"/>
      <c r="C662" s="67"/>
      <c r="D662" s="67"/>
      <c r="E662" s="67"/>
      <c r="F662" s="68"/>
      <c r="G662" s="68"/>
      <c r="H662" s="51"/>
      <c r="I662" s="51"/>
      <c r="J662" s="51"/>
      <c r="K662" s="66"/>
      <c r="P662" s="40"/>
      <c r="Q662" s="94"/>
    </row>
    <row r="663" spans="2:17" x14ac:dyDescent="0.15">
      <c r="B663" s="69"/>
      <c r="C663" s="67"/>
      <c r="D663" s="67"/>
      <c r="E663" s="67"/>
      <c r="F663" s="68"/>
      <c r="G663" s="68"/>
      <c r="H663" s="51"/>
      <c r="I663" s="51"/>
      <c r="J663" s="51"/>
      <c r="K663" s="66"/>
      <c r="P663" s="40"/>
      <c r="Q663" s="94"/>
    </row>
    <row r="664" spans="2:17" x14ac:dyDescent="0.15">
      <c r="B664" s="69"/>
      <c r="C664" s="67"/>
      <c r="D664" s="67"/>
      <c r="E664" s="67"/>
      <c r="F664" s="68"/>
      <c r="G664" s="68"/>
      <c r="H664" s="51"/>
      <c r="I664" s="51"/>
      <c r="J664" s="51"/>
      <c r="K664" s="66"/>
      <c r="P664" s="40"/>
      <c r="Q664" s="94"/>
    </row>
    <row r="665" spans="2:17" x14ac:dyDescent="0.15">
      <c r="B665" s="69"/>
      <c r="C665" s="67"/>
      <c r="D665" s="67"/>
      <c r="E665" s="67"/>
      <c r="F665" s="68"/>
      <c r="G665" s="68"/>
      <c r="H665" s="51"/>
      <c r="I665" s="51"/>
      <c r="J665" s="51"/>
      <c r="K665" s="66"/>
      <c r="P665" s="40"/>
      <c r="Q665" s="94"/>
    </row>
    <row r="666" spans="2:17" x14ac:dyDescent="0.15">
      <c r="B666" s="69"/>
      <c r="C666" s="67"/>
      <c r="D666" s="67"/>
      <c r="E666" s="67"/>
      <c r="F666" s="68"/>
      <c r="G666" s="68"/>
      <c r="H666" s="51"/>
      <c r="I666" s="51"/>
      <c r="J666" s="51"/>
      <c r="K666" s="51"/>
      <c r="P666" s="40"/>
      <c r="Q666" s="94"/>
    </row>
    <row r="667" spans="2:17" x14ac:dyDescent="0.15">
      <c r="B667" s="69"/>
      <c r="C667" s="67"/>
      <c r="D667" s="67"/>
      <c r="E667" s="67"/>
      <c r="F667" s="68"/>
      <c r="G667" s="68"/>
      <c r="H667" s="51"/>
      <c r="I667" s="51"/>
      <c r="J667" s="51"/>
      <c r="K667" s="66"/>
      <c r="P667" s="40"/>
      <c r="Q667" s="94"/>
    </row>
    <row r="668" spans="2:17" x14ac:dyDescent="0.15">
      <c r="B668" s="69"/>
      <c r="C668" s="67"/>
      <c r="D668" s="67"/>
      <c r="E668" s="67"/>
      <c r="F668" s="68"/>
      <c r="G668" s="68"/>
      <c r="H668" s="51"/>
      <c r="I668" s="51"/>
      <c r="J668" s="51"/>
      <c r="K668" s="66"/>
      <c r="P668" s="40"/>
      <c r="Q668" s="94"/>
    </row>
    <row r="669" spans="2:17" x14ac:dyDescent="0.15">
      <c r="B669" s="69"/>
      <c r="C669" s="67"/>
      <c r="D669" s="67"/>
      <c r="E669" s="67"/>
      <c r="F669" s="68"/>
      <c r="G669" s="68"/>
      <c r="H669" s="51"/>
      <c r="I669" s="51"/>
      <c r="J669" s="51"/>
      <c r="K669" s="66"/>
      <c r="P669" s="40"/>
      <c r="Q669" s="94"/>
    </row>
    <row r="670" spans="2:17" x14ac:dyDescent="0.15">
      <c r="B670" s="69"/>
      <c r="C670" s="67"/>
      <c r="D670" s="67"/>
      <c r="E670" s="67"/>
      <c r="F670" s="68"/>
      <c r="G670" s="68"/>
      <c r="H670" s="51"/>
      <c r="I670" s="51"/>
      <c r="J670" s="51"/>
      <c r="K670" s="66"/>
      <c r="P670" s="40"/>
      <c r="Q670" s="94"/>
    </row>
    <row r="671" spans="2:17" x14ac:dyDescent="0.15">
      <c r="B671" s="69"/>
      <c r="C671" s="67"/>
      <c r="D671" s="67"/>
      <c r="E671" s="67"/>
      <c r="F671" s="68"/>
      <c r="G671" s="68"/>
      <c r="H671" s="51"/>
      <c r="I671" s="51"/>
      <c r="J671" s="51"/>
      <c r="K671" s="66"/>
      <c r="P671" s="40"/>
      <c r="Q671" s="94"/>
    </row>
    <row r="672" spans="2:17" x14ac:dyDescent="0.15">
      <c r="B672" s="69"/>
      <c r="C672" s="67"/>
      <c r="D672" s="67"/>
      <c r="E672" s="67"/>
      <c r="F672" s="68"/>
      <c r="G672" s="68"/>
      <c r="H672" s="51"/>
      <c r="I672" s="51"/>
      <c r="J672" s="51"/>
      <c r="K672" s="66"/>
      <c r="P672" s="40"/>
      <c r="Q672" s="94"/>
    </row>
    <row r="673" spans="2:17" x14ac:dyDescent="0.15">
      <c r="B673" s="69"/>
      <c r="C673" s="67"/>
      <c r="D673" s="67"/>
      <c r="E673" s="67"/>
      <c r="F673" s="68"/>
      <c r="G673" s="68"/>
      <c r="H673" s="51"/>
      <c r="I673" s="51"/>
      <c r="J673" s="51"/>
      <c r="K673" s="51"/>
      <c r="P673" s="40"/>
      <c r="Q673" s="94"/>
    </row>
    <row r="674" spans="2:17" x14ac:dyDescent="0.15">
      <c r="B674" s="69"/>
      <c r="C674" s="67"/>
      <c r="D674" s="67"/>
      <c r="E674" s="67"/>
      <c r="F674" s="68"/>
      <c r="G674" s="68"/>
      <c r="H674" s="51"/>
      <c r="I674" s="51"/>
      <c r="J674" s="51"/>
      <c r="K674" s="66"/>
      <c r="P674" s="40"/>
      <c r="Q674" s="94"/>
    </row>
    <row r="675" spans="2:17" x14ac:dyDescent="0.15">
      <c r="B675" s="69"/>
      <c r="C675" s="67"/>
      <c r="D675" s="67"/>
      <c r="E675" s="67"/>
      <c r="F675" s="68"/>
      <c r="G675" s="68"/>
      <c r="H675" s="51"/>
      <c r="I675" s="51"/>
      <c r="J675" s="51"/>
      <c r="K675" s="66"/>
      <c r="P675" s="40"/>
      <c r="Q675" s="94"/>
    </row>
    <row r="676" spans="2:17" x14ac:dyDescent="0.15">
      <c r="B676" s="69"/>
      <c r="C676" s="67"/>
      <c r="D676" s="67"/>
      <c r="E676" s="67"/>
      <c r="F676" s="68"/>
      <c r="G676" s="68"/>
      <c r="H676" s="51"/>
      <c r="I676" s="51"/>
      <c r="J676" s="51"/>
      <c r="K676" s="66"/>
      <c r="P676" s="40"/>
      <c r="Q676" s="94"/>
    </row>
    <row r="677" spans="2:17" x14ac:dyDescent="0.15">
      <c r="B677" s="69"/>
      <c r="C677" s="67"/>
      <c r="D677" s="67"/>
      <c r="E677" s="67"/>
      <c r="F677" s="68"/>
      <c r="G677" s="68"/>
      <c r="H677" s="51"/>
      <c r="I677" s="51"/>
      <c r="J677" s="51"/>
      <c r="K677" s="66"/>
      <c r="P677" s="40"/>
      <c r="Q677" s="94"/>
    </row>
    <row r="678" spans="2:17" x14ac:dyDescent="0.15">
      <c r="B678" s="69"/>
      <c r="C678" s="67"/>
      <c r="D678" s="67"/>
      <c r="E678" s="67"/>
      <c r="F678" s="68"/>
      <c r="G678" s="68"/>
      <c r="H678" s="51"/>
      <c r="I678" s="51"/>
      <c r="J678" s="51"/>
      <c r="K678" s="66"/>
      <c r="P678" s="40"/>
      <c r="Q678" s="94"/>
    </row>
    <row r="679" spans="2:17" x14ac:dyDescent="0.15">
      <c r="B679" s="69"/>
      <c r="C679" s="67"/>
      <c r="D679" s="67"/>
      <c r="E679" s="67"/>
      <c r="F679" s="68"/>
      <c r="G679" s="68"/>
      <c r="H679" s="51"/>
      <c r="I679" s="51"/>
      <c r="J679" s="51"/>
      <c r="K679" s="66"/>
      <c r="P679" s="40"/>
      <c r="Q679" s="94"/>
    </row>
    <row r="680" spans="2:17" x14ac:dyDescent="0.15">
      <c r="B680" s="69"/>
      <c r="C680" s="67"/>
      <c r="D680" s="67"/>
      <c r="E680" s="67"/>
      <c r="F680" s="68"/>
      <c r="G680" s="68"/>
      <c r="H680" s="51"/>
      <c r="I680" s="51"/>
      <c r="J680" s="51"/>
      <c r="K680" s="66"/>
      <c r="P680" s="40"/>
      <c r="Q680" s="94"/>
    </row>
    <row r="681" spans="2:17" x14ac:dyDescent="0.15">
      <c r="B681" s="69"/>
      <c r="C681" s="67"/>
      <c r="D681" s="67"/>
      <c r="E681" s="67"/>
      <c r="F681" s="68"/>
      <c r="G681" s="68"/>
      <c r="H681" s="51"/>
      <c r="I681" s="51"/>
      <c r="J681" s="51"/>
      <c r="K681" s="51"/>
      <c r="P681" s="40"/>
      <c r="Q681" s="94"/>
    </row>
    <row r="682" spans="2:17" x14ac:dyDescent="0.15">
      <c r="B682" s="69"/>
      <c r="C682" s="67"/>
      <c r="D682" s="67"/>
      <c r="E682" s="67"/>
      <c r="F682" s="68"/>
      <c r="G682" s="68"/>
      <c r="H682" s="51"/>
      <c r="I682" s="51"/>
      <c r="J682" s="51"/>
      <c r="K682" s="66"/>
      <c r="P682" s="40"/>
      <c r="Q682" s="94"/>
    </row>
    <row r="683" spans="2:17" x14ac:dyDescent="0.15">
      <c r="B683" s="69"/>
      <c r="C683" s="67"/>
      <c r="D683" s="67"/>
      <c r="E683" s="67"/>
      <c r="F683" s="68"/>
      <c r="G683" s="68"/>
      <c r="H683" s="51"/>
      <c r="I683" s="51"/>
      <c r="J683" s="51"/>
      <c r="K683" s="66"/>
      <c r="P683" s="40"/>
      <c r="Q683" s="94"/>
    </row>
    <row r="684" spans="2:17" x14ac:dyDescent="0.15">
      <c r="B684" s="69"/>
      <c r="C684" s="67"/>
      <c r="D684" s="67"/>
      <c r="E684" s="67"/>
      <c r="F684" s="68"/>
      <c r="G684" s="68"/>
      <c r="H684" s="51"/>
      <c r="I684" s="51"/>
      <c r="J684" s="51"/>
      <c r="K684" s="66"/>
      <c r="P684" s="40"/>
      <c r="Q684" s="94"/>
    </row>
    <row r="685" spans="2:17" x14ac:dyDescent="0.15">
      <c r="B685" s="69"/>
      <c r="C685" s="67"/>
      <c r="D685" s="67"/>
      <c r="E685" s="67"/>
      <c r="F685" s="68"/>
      <c r="G685" s="68"/>
      <c r="H685" s="51"/>
      <c r="I685" s="51"/>
      <c r="J685" s="51"/>
      <c r="K685" s="66"/>
      <c r="P685" s="40"/>
      <c r="Q685" s="94"/>
    </row>
    <row r="686" spans="2:17" x14ac:dyDescent="0.15">
      <c r="B686" s="69"/>
      <c r="C686" s="67"/>
      <c r="D686" s="67"/>
      <c r="E686" s="67"/>
      <c r="F686" s="68"/>
      <c r="G686" s="68"/>
      <c r="H686" s="51"/>
      <c r="I686" s="51"/>
      <c r="J686" s="51"/>
      <c r="K686" s="66"/>
      <c r="P686" s="40"/>
      <c r="Q686" s="94"/>
    </row>
    <row r="687" spans="2:17" x14ac:dyDescent="0.15">
      <c r="B687" s="69"/>
      <c r="C687" s="67"/>
      <c r="D687" s="67"/>
      <c r="E687" s="67"/>
      <c r="F687" s="68"/>
      <c r="G687" s="68"/>
      <c r="H687" s="51"/>
      <c r="I687" s="51"/>
      <c r="J687" s="51"/>
      <c r="K687" s="66"/>
      <c r="P687" s="40"/>
      <c r="Q687" s="94"/>
    </row>
    <row r="688" spans="2:17" x14ac:dyDescent="0.15">
      <c r="B688" s="69"/>
      <c r="C688" s="67"/>
      <c r="D688" s="67"/>
      <c r="E688" s="67"/>
      <c r="F688" s="68"/>
      <c r="G688" s="68"/>
      <c r="H688" s="51"/>
      <c r="I688" s="51"/>
      <c r="J688" s="51"/>
      <c r="K688" s="66"/>
      <c r="P688" s="40"/>
      <c r="Q688" s="94"/>
    </row>
    <row r="689" spans="2:17" x14ac:dyDescent="0.15">
      <c r="B689" s="69"/>
      <c r="C689" s="67"/>
      <c r="D689" s="67"/>
      <c r="E689" s="67"/>
      <c r="F689" s="68"/>
      <c r="G689" s="68"/>
      <c r="H689" s="51"/>
      <c r="I689" s="51"/>
      <c r="J689" s="51"/>
      <c r="K689" s="66"/>
      <c r="P689" s="40"/>
      <c r="Q689" s="94"/>
    </row>
    <row r="690" spans="2:17" x14ac:dyDescent="0.15">
      <c r="B690" s="69"/>
      <c r="C690" s="67"/>
      <c r="D690" s="67"/>
      <c r="E690" s="67"/>
      <c r="F690" s="68"/>
      <c r="G690" s="68"/>
      <c r="H690" s="51"/>
      <c r="I690" s="51"/>
      <c r="J690" s="51"/>
      <c r="K690" s="51"/>
      <c r="P690" s="40"/>
      <c r="Q690" s="94"/>
    </row>
    <row r="691" spans="2:17" x14ac:dyDescent="0.15">
      <c r="B691" s="69"/>
      <c r="C691" s="67"/>
      <c r="D691" s="67"/>
      <c r="E691" s="67"/>
      <c r="F691" s="68"/>
      <c r="G691" s="68"/>
      <c r="H691" s="51"/>
      <c r="I691" s="51"/>
      <c r="J691" s="51"/>
      <c r="K691" s="66"/>
      <c r="P691" s="40"/>
      <c r="Q691" s="94"/>
    </row>
    <row r="692" spans="2:17" x14ac:dyDescent="0.15">
      <c r="B692" s="69"/>
      <c r="C692" s="67"/>
      <c r="D692" s="67"/>
      <c r="E692" s="67"/>
      <c r="F692" s="68"/>
      <c r="G692" s="68"/>
      <c r="H692" s="51"/>
      <c r="I692" s="51"/>
      <c r="J692" s="51"/>
      <c r="K692" s="66"/>
      <c r="P692" s="40"/>
      <c r="Q692" s="94"/>
    </row>
    <row r="693" spans="2:17" x14ac:dyDescent="0.15">
      <c r="B693" s="69"/>
      <c r="C693" s="67"/>
      <c r="D693" s="67"/>
      <c r="E693" s="67"/>
      <c r="F693" s="68"/>
      <c r="G693" s="68"/>
      <c r="H693" s="51"/>
      <c r="I693" s="51"/>
      <c r="J693" s="51"/>
      <c r="K693" s="66"/>
      <c r="P693" s="40"/>
      <c r="Q693" s="94"/>
    </row>
    <row r="694" spans="2:17" x14ac:dyDescent="0.15">
      <c r="B694" s="69"/>
      <c r="C694" s="67"/>
      <c r="D694" s="67"/>
      <c r="E694" s="67"/>
      <c r="F694" s="68"/>
      <c r="G694" s="68"/>
      <c r="H694" s="51"/>
      <c r="I694" s="51"/>
      <c r="J694" s="51"/>
      <c r="K694" s="66"/>
      <c r="P694" s="40"/>
      <c r="Q694" s="94"/>
    </row>
    <row r="695" spans="2:17" x14ac:dyDescent="0.15">
      <c r="B695" s="69"/>
      <c r="C695" s="67"/>
      <c r="D695" s="67"/>
      <c r="E695" s="67"/>
      <c r="F695" s="68"/>
      <c r="G695" s="68"/>
      <c r="H695" s="51"/>
      <c r="I695" s="51"/>
      <c r="J695" s="51"/>
      <c r="K695" s="66"/>
      <c r="P695" s="40"/>
      <c r="Q695" s="94"/>
    </row>
    <row r="696" spans="2:17" x14ac:dyDescent="0.15">
      <c r="B696" s="69"/>
      <c r="C696" s="67"/>
      <c r="D696" s="67"/>
      <c r="E696" s="67"/>
      <c r="F696" s="68"/>
      <c r="G696" s="68"/>
      <c r="H696" s="51"/>
      <c r="I696" s="51"/>
      <c r="J696" s="51"/>
      <c r="K696" s="66"/>
      <c r="P696" s="40"/>
      <c r="Q696" s="94"/>
    </row>
    <row r="697" spans="2:17" x14ac:dyDescent="0.15">
      <c r="B697" s="69"/>
      <c r="C697" s="67"/>
      <c r="D697" s="67"/>
      <c r="E697" s="67"/>
      <c r="F697" s="68"/>
      <c r="G697" s="68"/>
      <c r="H697" s="51"/>
      <c r="I697" s="51"/>
      <c r="J697" s="51"/>
      <c r="K697" s="66"/>
      <c r="P697" s="40"/>
      <c r="Q697" s="94"/>
    </row>
    <row r="698" spans="2:17" x14ac:dyDescent="0.15">
      <c r="B698" s="69"/>
      <c r="C698" s="67"/>
      <c r="D698" s="67"/>
      <c r="E698" s="67"/>
      <c r="F698" s="68"/>
      <c r="G698" s="68"/>
      <c r="H698" s="51"/>
      <c r="I698" s="51"/>
      <c r="J698" s="51"/>
      <c r="K698" s="66"/>
      <c r="P698" s="40"/>
      <c r="Q698" s="94"/>
    </row>
    <row r="699" spans="2:17" x14ac:dyDescent="0.15">
      <c r="B699" s="69"/>
      <c r="C699" s="67"/>
      <c r="D699" s="67"/>
      <c r="E699" s="67"/>
      <c r="F699" s="68"/>
      <c r="G699" s="68"/>
      <c r="H699" s="51"/>
      <c r="I699" s="51"/>
      <c r="J699" s="51"/>
      <c r="K699" s="51"/>
      <c r="P699" s="40"/>
      <c r="Q699" s="94"/>
    </row>
    <row r="700" spans="2:17" x14ac:dyDescent="0.15">
      <c r="B700" s="69"/>
      <c r="C700" s="67"/>
      <c r="D700" s="67"/>
      <c r="E700" s="67"/>
      <c r="F700" s="68"/>
      <c r="G700" s="68"/>
      <c r="H700" s="51"/>
      <c r="I700" s="51"/>
      <c r="J700" s="51"/>
      <c r="K700" s="66"/>
      <c r="P700" s="40"/>
      <c r="Q700" s="94"/>
    </row>
    <row r="701" spans="2:17" x14ac:dyDescent="0.15">
      <c r="B701" s="69"/>
      <c r="C701" s="67"/>
      <c r="D701" s="67"/>
      <c r="E701" s="67"/>
      <c r="F701" s="68"/>
      <c r="G701" s="68"/>
      <c r="H701" s="51"/>
      <c r="I701" s="51"/>
      <c r="J701" s="51"/>
      <c r="K701" s="66"/>
      <c r="P701" s="40"/>
      <c r="Q701" s="94"/>
    </row>
    <row r="702" spans="2:17" x14ac:dyDescent="0.15">
      <c r="B702" s="69"/>
      <c r="C702" s="67"/>
      <c r="D702" s="67"/>
      <c r="E702" s="67"/>
      <c r="F702" s="68"/>
      <c r="G702" s="68"/>
      <c r="H702" s="51"/>
      <c r="I702" s="51"/>
      <c r="J702" s="51"/>
      <c r="K702" s="66"/>
      <c r="P702" s="40"/>
      <c r="Q702" s="94"/>
    </row>
    <row r="703" spans="2:17" x14ac:dyDescent="0.15">
      <c r="B703" s="69"/>
      <c r="C703" s="67"/>
      <c r="D703" s="67"/>
      <c r="E703" s="67"/>
      <c r="F703" s="68"/>
      <c r="G703" s="68"/>
      <c r="H703" s="51"/>
      <c r="I703" s="51"/>
      <c r="J703" s="51"/>
      <c r="K703" s="51"/>
      <c r="P703" s="40"/>
      <c r="Q703" s="94"/>
    </row>
    <row r="704" spans="2:17" x14ac:dyDescent="0.15">
      <c r="B704" s="69"/>
      <c r="C704" s="67"/>
      <c r="D704" s="67"/>
      <c r="E704" s="67"/>
      <c r="F704" s="68"/>
      <c r="G704" s="68"/>
      <c r="H704" s="51"/>
      <c r="I704" s="51"/>
      <c r="J704" s="51"/>
      <c r="K704" s="66"/>
      <c r="P704" s="40"/>
      <c r="Q704" s="94"/>
    </row>
    <row r="705" spans="16:17" x14ac:dyDescent="0.15">
      <c r="P705" s="40"/>
      <c r="Q705" s="94"/>
    </row>
    <row r="706" spans="16:17" x14ac:dyDescent="0.15">
      <c r="P706" s="40"/>
      <c r="Q706" s="94"/>
    </row>
    <row r="707" spans="16:17" x14ac:dyDescent="0.15">
      <c r="P707" s="40"/>
      <c r="Q707" s="94"/>
    </row>
    <row r="708" spans="16:17" x14ac:dyDescent="0.15">
      <c r="P708" s="40"/>
      <c r="Q708" s="94"/>
    </row>
    <row r="709" spans="16:17" x14ac:dyDescent="0.15">
      <c r="P709" s="40"/>
      <c r="Q709" s="94"/>
    </row>
    <row r="710" spans="16:17" x14ac:dyDescent="0.15">
      <c r="P710" s="40"/>
      <c r="Q710" s="94"/>
    </row>
    <row r="711" spans="16:17" x14ac:dyDescent="0.15">
      <c r="P711" s="40"/>
      <c r="Q711" s="94"/>
    </row>
    <row r="712" spans="16:17" x14ac:dyDescent="0.15">
      <c r="P712" s="40"/>
      <c r="Q712" s="94"/>
    </row>
    <row r="713" spans="16:17" x14ac:dyDescent="0.15">
      <c r="P713" s="40"/>
      <c r="Q713" s="94"/>
    </row>
    <row r="714" spans="16:17" x14ac:dyDescent="0.15">
      <c r="P714" s="40"/>
      <c r="Q714" s="94"/>
    </row>
    <row r="715" spans="16:17" x14ac:dyDescent="0.15">
      <c r="P715" s="40"/>
      <c r="Q715" s="94"/>
    </row>
    <row r="716" spans="16:17" x14ac:dyDescent="0.15">
      <c r="P716" s="40"/>
      <c r="Q716" s="94"/>
    </row>
    <row r="717" spans="16:17" x14ac:dyDescent="0.15">
      <c r="P717" s="40"/>
      <c r="Q717" s="94"/>
    </row>
    <row r="718" spans="16:17" x14ac:dyDescent="0.15">
      <c r="P718" s="40"/>
      <c r="Q718" s="94"/>
    </row>
    <row r="719" spans="16:17" x14ac:dyDescent="0.15">
      <c r="P719" s="40"/>
      <c r="Q719" s="94"/>
    </row>
    <row r="720" spans="16:17" x14ac:dyDescent="0.15">
      <c r="P720" s="40"/>
      <c r="Q720" s="94"/>
    </row>
    <row r="721" spans="16:17" x14ac:dyDescent="0.15">
      <c r="P721" s="40"/>
      <c r="Q721" s="94"/>
    </row>
    <row r="722" spans="16:17" x14ac:dyDescent="0.15">
      <c r="P722" s="40"/>
      <c r="Q722" s="94"/>
    </row>
    <row r="723" spans="16:17" x14ac:dyDescent="0.15">
      <c r="P723" s="40"/>
      <c r="Q723" s="94"/>
    </row>
    <row r="724" spans="16:17" x14ac:dyDescent="0.15">
      <c r="P724" s="40"/>
      <c r="Q724" s="94"/>
    </row>
    <row r="725" spans="16:17" x14ac:dyDescent="0.15">
      <c r="P725" s="40"/>
      <c r="Q725" s="94"/>
    </row>
    <row r="726" spans="16:17" x14ac:dyDescent="0.15">
      <c r="P726" s="40"/>
      <c r="Q726" s="94"/>
    </row>
    <row r="727" spans="16:17" x14ac:dyDescent="0.15">
      <c r="P727" s="40"/>
      <c r="Q727" s="94"/>
    </row>
    <row r="728" spans="16:17" x14ac:dyDescent="0.15">
      <c r="P728" s="40"/>
      <c r="Q728" s="94"/>
    </row>
    <row r="729" spans="16:17" x14ac:dyDescent="0.15">
      <c r="P729" s="40"/>
      <c r="Q729" s="94"/>
    </row>
    <row r="730" spans="16:17" x14ac:dyDescent="0.15">
      <c r="P730" s="40"/>
      <c r="Q730" s="94"/>
    </row>
    <row r="731" spans="16:17" x14ac:dyDescent="0.15">
      <c r="P731" s="40"/>
      <c r="Q731" s="94"/>
    </row>
    <row r="732" spans="16:17" x14ac:dyDescent="0.15">
      <c r="P732" s="40"/>
      <c r="Q732" s="94"/>
    </row>
  </sheetData>
  <mergeCells count="924">
    <mergeCell ref="Q614:Q620"/>
    <mergeCell ref="Q621:Q623"/>
    <mergeCell ref="Q554:Q558"/>
    <mergeCell ref="Q559:Q564"/>
    <mergeCell ref="Q565:Q569"/>
    <mergeCell ref="Q570:Q573"/>
    <mergeCell ref="Q574:Q583"/>
    <mergeCell ref="Q584:Q590"/>
    <mergeCell ref="Q591:Q597"/>
    <mergeCell ref="Q598:Q606"/>
    <mergeCell ref="Q607:Q613"/>
    <mergeCell ref="Q503:Q506"/>
    <mergeCell ref="Q507:Q514"/>
    <mergeCell ref="Q515:Q519"/>
    <mergeCell ref="Q520:Q525"/>
    <mergeCell ref="Q526:Q532"/>
    <mergeCell ref="Q533:Q537"/>
    <mergeCell ref="Q538:Q542"/>
    <mergeCell ref="Q543:Q549"/>
    <mergeCell ref="Q550:Q553"/>
    <mergeCell ref="Q426:Q436"/>
    <mergeCell ref="Q437:Q442"/>
    <mergeCell ref="Q443:Q450"/>
    <mergeCell ref="Q451:Q459"/>
    <mergeCell ref="Q460:Q469"/>
    <mergeCell ref="Q470:Q476"/>
    <mergeCell ref="Q477:Q484"/>
    <mergeCell ref="Q485:Q493"/>
    <mergeCell ref="Q494:Q502"/>
    <mergeCell ref="Q378:Q384"/>
    <mergeCell ref="Q385:Q390"/>
    <mergeCell ref="Q391:Q398"/>
    <mergeCell ref="Q399:Q402"/>
    <mergeCell ref="Q403:Q405"/>
    <mergeCell ref="Q406:Q409"/>
    <mergeCell ref="Q410:Q412"/>
    <mergeCell ref="Q413:Q414"/>
    <mergeCell ref="Q415:Q425"/>
    <mergeCell ref="Q322:Q329"/>
    <mergeCell ref="Q330:Q334"/>
    <mergeCell ref="Q335:Q339"/>
    <mergeCell ref="Q340:Q346"/>
    <mergeCell ref="Q347:Q352"/>
    <mergeCell ref="Q353:Q359"/>
    <mergeCell ref="Q360:Q365"/>
    <mergeCell ref="Q366:Q371"/>
    <mergeCell ref="Q372:Q377"/>
    <mergeCell ref="Q259:Q267"/>
    <mergeCell ref="Q268:Q276"/>
    <mergeCell ref="Q277:Q280"/>
    <mergeCell ref="Q281:Q287"/>
    <mergeCell ref="Q288:Q293"/>
    <mergeCell ref="Q294:Q301"/>
    <mergeCell ref="Q302:Q309"/>
    <mergeCell ref="Q310:Q314"/>
    <mergeCell ref="Q315:Q321"/>
    <mergeCell ref="Q181:Q189"/>
    <mergeCell ref="Q190:Q198"/>
    <mergeCell ref="Q199:Q206"/>
    <mergeCell ref="Q207:Q214"/>
    <mergeCell ref="Q215:Q224"/>
    <mergeCell ref="Q225:Q232"/>
    <mergeCell ref="Q233:Q240"/>
    <mergeCell ref="Q241:Q248"/>
    <mergeCell ref="Q249:Q258"/>
    <mergeCell ref="Q130:Q138"/>
    <mergeCell ref="Q139:Q144"/>
    <mergeCell ref="Q145:Q153"/>
    <mergeCell ref="Q154:Q157"/>
    <mergeCell ref="Q158:Q160"/>
    <mergeCell ref="Q161:Q164"/>
    <mergeCell ref="Q165:Q167"/>
    <mergeCell ref="Q168:Q169"/>
    <mergeCell ref="Q170:Q180"/>
    <mergeCell ref="Q71:Q78"/>
    <mergeCell ref="Q79:Q84"/>
    <mergeCell ref="Q85:Q91"/>
    <mergeCell ref="Q92:Q99"/>
    <mergeCell ref="Q100:Q103"/>
    <mergeCell ref="Q104:Q109"/>
    <mergeCell ref="Q110:Q116"/>
    <mergeCell ref="Q117:Q121"/>
    <mergeCell ref="Q122:Q129"/>
    <mergeCell ref="Q5:Q13"/>
    <mergeCell ref="Q14:Q19"/>
    <mergeCell ref="Q20:Q28"/>
    <mergeCell ref="Q29:Q36"/>
    <mergeCell ref="Q37:Q42"/>
    <mergeCell ref="Q43:Q49"/>
    <mergeCell ref="Q50:Q57"/>
    <mergeCell ref="Q58:Q63"/>
    <mergeCell ref="Q64:Q70"/>
    <mergeCell ref="A1:A1048576"/>
    <mergeCell ref="D366:D371"/>
    <mergeCell ref="E366:E371"/>
    <mergeCell ref="F366:F371"/>
    <mergeCell ref="G366:G371"/>
    <mergeCell ref="G385:G390"/>
    <mergeCell ref="F385:F390"/>
    <mergeCell ref="E385:E390"/>
    <mergeCell ref="D385:D390"/>
    <mergeCell ref="F477:F484"/>
    <mergeCell ref="G477:G484"/>
    <mergeCell ref="C503:C506"/>
    <mergeCell ref="D503:D506"/>
    <mergeCell ref="E503:E506"/>
    <mergeCell ref="F503:F506"/>
    <mergeCell ref="G503:G506"/>
    <mergeCell ref="D485:D493"/>
    <mergeCell ref="E485:E493"/>
    <mergeCell ref="F485:F493"/>
    <mergeCell ref="G485:G493"/>
    <mergeCell ref="C460:C502"/>
    <mergeCell ref="D494:D502"/>
    <mergeCell ref="E494:E502"/>
    <mergeCell ref="F494:F502"/>
    <mergeCell ref="G494:G502"/>
    <mergeCell ref="E451:E459"/>
    <mergeCell ref="F451:F459"/>
    <mergeCell ref="G451:G459"/>
    <mergeCell ref="D460:E461"/>
    <mergeCell ref="F460:G461"/>
    <mergeCell ref="D462:D469"/>
    <mergeCell ref="E462:E469"/>
    <mergeCell ref="F462:F469"/>
    <mergeCell ref="G462:G469"/>
    <mergeCell ref="D470:D476"/>
    <mergeCell ref="E470:E476"/>
    <mergeCell ref="F470:F476"/>
    <mergeCell ref="G470:G476"/>
    <mergeCell ref="D477:D484"/>
    <mergeCell ref="E477:E484"/>
    <mergeCell ref="C426:C459"/>
    <mergeCell ref="D426:E427"/>
    <mergeCell ref="F426:G427"/>
    <mergeCell ref="D428:D436"/>
    <mergeCell ref="E428:E436"/>
    <mergeCell ref="F428:F436"/>
    <mergeCell ref="G428:G436"/>
    <mergeCell ref="D437:D442"/>
    <mergeCell ref="E437:E442"/>
    <mergeCell ref="F437:F442"/>
    <mergeCell ref="G437:G442"/>
    <mergeCell ref="D443:D450"/>
    <mergeCell ref="E443:E450"/>
    <mergeCell ref="F443:F450"/>
    <mergeCell ref="G443:G450"/>
    <mergeCell ref="D451:D459"/>
    <mergeCell ref="C415:C425"/>
    <mergeCell ref="D415:E416"/>
    <mergeCell ref="F415:G416"/>
    <mergeCell ref="D417:D425"/>
    <mergeCell ref="E417:E425"/>
    <mergeCell ref="F417:F425"/>
    <mergeCell ref="G417:G425"/>
    <mergeCell ref="C413:C414"/>
    <mergeCell ref="D413:D414"/>
    <mergeCell ref="E413:E414"/>
    <mergeCell ref="F413:F414"/>
    <mergeCell ref="G413:G414"/>
    <mergeCell ref="C410:C412"/>
    <mergeCell ref="D410:D412"/>
    <mergeCell ref="E410:E412"/>
    <mergeCell ref="F410:F412"/>
    <mergeCell ref="G410:G412"/>
    <mergeCell ref="C406:C409"/>
    <mergeCell ref="D406:D409"/>
    <mergeCell ref="E406:E409"/>
    <mergeCell ref="F406:F409"/>
    <mergeCell ref="G406:G409"/>
    <mergeCell ref="C403:C405"/>
    <mergeCell ref="D403:D405"/>
    <mergeCell ref="E403:E405"/>
    <mergeCell ref="F403:F405"/>
    <mergeCell ref="G403:G405"/>
    <mergeCell ref="C399:C402"/>
    <mergeCell ref="D399:D402"/>
    <mergeCell ref="E399:E402"/>
    <mergeCell ref="F399:F402"/>
    <mergeCell ref="G399:G402"/>
    <mergeCell ref="C378:C398"/>
    <mergeCell ref="D378:E378"/>
    <mergeCell ref="F378:G378"/>
    <mergeCell ref="D379:D384"/>
    <mergeCell ref="E379:E384"/>
    <mergeCell ref="F379:F384"/>
    <mergeCell ref="G379:G384"/>
    <mergeCell ref="D391:D398"/>
    <mergeCell ref="E391:E398"/>
    <mergeCell ref="F391:F398"/>
    <mergeCell ref="G391:G398"/>
    <mergeCell ref="C360:C377"/>
    <mergeCell ref="D360:E360"/>
    <mergeCell ref="F360:G360"/>
    <mergeCell ref="D361:D365"/>
    <mergeCell ref="E361:E365"/>
    <mergeCell ref="F361:F365"/>
    <mergeCell ref="G361:G365"/>
    <mergeCell ref="D372:D377"/>
    <mergeCell ref="E372:E377"/>
    <mergeCell ref="F372:F377"/>
    <mergeCell ref="G372:G377"/>
    <mergeCell ref="C340:C359"/>
    <mergeCell ref="D340:E340"/>
    <mergeCell ref="F340:G340"/>
    <mergeCell ref="D341:D346"/>
    <mergeCell ref="E341:E346"/>
    <mergeCell ref="F341:F346"/>
    <mergeCell ref="G341:G346"/>
    <mergeCell ref="D347:D352"/>
    <mergeCell ref="E347:E352"/>
    <mergeCell ref="F347:F352"/>
    <mergeCell ref="G347:G352"/>
    <mergeCell ref="D353:D359"/>
    <mergeCell ref="E353:E359"/>
    <mergeCell ref="F353:F359"/>
    <mergeCell ref="G353:G359"/>
    <mergeCell ref="D315:D321"/>
    <mergeCell ref="E315:E321"/>
    <mergeCell ref="F315:F321"/>
    <mergeCell ref="G315:G321"/>
    <mergeCell ref="C322:C339"/>
    <mergeCell ref="D322:E322"/>
    <mergeCell ref="F322:G322"/>
    <mergeCell ref="D323:D329"/>
    <mergeCell ref="E323:E329"/>
    <mergeCell ref="F323:F329"/>
    <mergeCell ref="G323:G329"/>
    <mergeCell ref="D330:D334"/>
    <mergeCell ref="E330:E334"/>
    <mergeCell ref="F330:F334"/>
    <mergeCell ref="G330:G334"/>
    <mergeCell ref="D335:D339"/>
    <mergeCell ref="E335:E339"/>
    <mergeCell ref="F335:F339"/>
    <mergeCell ref="G335:G339"/>
    <mergeCell ref="D303:D309"/>
    <mergeCell ref="E303:E309"/>
    <mergeCell ref="F303:F309"/>
    <mergeCell ref="G303:G309"/>
    <mergeCell ref="D310:D314"/>
    <mergeCell ref="E310:E314"/>
    <mergeCell ref="F310:F314"/>
    <mergeCell ref="G310:G314"/>
    <mergeCell ref="B5:B280"/>
    <mergeCell ref="B281:B506"/>
    <mergeCell ref="C281:C301"/>
    <mergeCell ref="D281:E282"/>
    <mergeCell ref="F281:G282"/>
    <mergeCell ref="D283:D287"/>
    <mergeCell ref="E283:E287"/>
    <mergeCell ref="F283:F287"/>
    <mergeCell ref="G283:G287"/>
    <mergeCell ref="D288:D293"/>
    <mergeCell ref="E288:E293"/>
    <mergeCell ref="F288:F293"/>
    <mergeCell ref="G288:G293"/>
    <mergeCell ref="C302:C321"/>
    <mergeCell ref="D302:E302"/>
    <mergeCell ref="F302:G302"/>
    <mergeCell ref="F294:F301"/>
    <mergeCell ref="G294:G301"/>
    <mergeCell ref="C277:C280"/>
    <mergeCell ref="D277:D280"/>
    <mergeCell ref="E277:E280"/>
    <mergeCell ref="F277:F280"/>
    <mergeCell ref="G277:G280"/>
    <mergeCell ref="D294:D301"/>
    <mergeCell ref="E294:E301"/>
    <mergeCell ref="C249:C276"/>
    <mergeCell ref="D249:E250"/>
    <mergeCell ref="F249:G250"/>
    <mergeCell ref="D251:D258"/>
    <mergeCell ref="E251:E258"/>
    <mergeCell ref="F251:F258"/>
    <mergeCell ref="G251:G258"/>
    <mergeCell ref="D259:D267"/>
    <mergeCell ref="E259:E267"/>
    <mergeCell ref="F259:F267"/>
    <mergeCell ref="G259:G267"/>
    <mergeCell ref="D268:D276"/>
    <mergeCell ref="E268:E276"/>
    <mergeCell ref="F268:F276"/>
    <mergeCell ref="G268:G276"/>
    <mergeCell ref="E233:E240"/>
    <mergeCell ref="F233:F240"/>
    <mergeCell ref="G233:G240"/>
    <mergeCell ref="D241:D248"/>
    <mergeCell ref="E241:E248"/>
    <mergeCell ref="F241:F248"/>
    <mergeCell ref="G241:G248"/>
    <mergeCell ref="C215:C248"/>
    <mergeCell ref="D215:E216"/>
    <mergeCell ref="F215:G216"/>
    <mergeCell ref="D217:D224"/>
    <mergeCell ref="E217:E224"/>
    <mergeCell ref="F217:F224"/>
    <mergeCell ref="G217:G224"/>
    <mergeCell ref="D225:D232"/>
    <mergeCell ref="E225:E232"/>
    <mergeCell ref="F225:F232"/>
    <mergeCell ref="G225:G232"/>
    <mergeCell ref="D233:D240"/>
    <mergeCell ref="D207:D214"/>
    <mergeCell ref="E207:E214"/>
    <mergeCell ref="F207:F214"/>
    <mergeCell ref="G207:G214"/>
    <mergeCell ref="C170:C214"/>
    <mergeCell ref="D190:D198"/>
    <mergeCell ref="E190:E198"/>
    <mergeCell ref="F190:F198"/>
    <mergeCell ref="G190:G198"/>
    <mergeCell ref="D199:D206"/>
    <mergeCell ref="E199:E206"/>
    <mergeCell ref="F199:F206"/>
    <mergeCell ref="G199:G206"/>
    <mergeCell ref="D172:D180"/>
    <mergeCell ref="E172:E180"/>
    <mergeCell ref="F172:F180"/>
    <mergeCell ref="G172:G180"/>
    <mergeCell ref="D181:D189"/>
    <mergeCell ref="E181:E189"/>
    <mergeCell ref="F181:F189"/>
    <mergeCell ref="G181:G189"/>
    <mergeCell ref="D170:E171"/>
    <mergeCell ref="F170:G171"/>
    <mergeCell ref="C168:C169"/>
    <mergeCell ref="D168:D169"/>
    <mergeCell ref="E168:E169"/>
    <mergeCell ref="F168:F169"/>
    <mergeCell ref="G168:G169"/>
    <mergeCell ref="D161:D164"/>
    <mergeCell ref="E161:E164"/>
    <mergeCell ref="F161:F164"/>
    <mergeCell ref="G161:G164"/>
    <mergeCell ref="C165:C167"/>
    <mergeCell ref="D165:D167"/>
    <mergeCell ref="E165:E167"/>
    <mergeCell ref="F165:F167"/>
    <mergeCell ref="G165:G167"/>
    <mergeCell ref="C161:C164"/>
    <mergeCell ref="C154:C157"/>
    <mergeCell ref="D154:D157"/>
    <mergeCell ref="E154:E157"/>
    <mergeCell ref="F154:F157"/>
    <mergeCell ref="G154:G157"/>
    <mergeCell ref="C158:C160"/>
    <mergeCell ref="D158:D160"/>
    <mergeCell ref="E158:E160"/>
    <mergeCell ref="F158:F160"/>
    <mergeCell ref="G158:G160"/>
    <mergeCell ref="C130:C153"/>
    <mergeCell ref="D130:E131"/>
    <mergeCell ref="F130:G131"/>
    <mergeCell ref="D132:D138"/>
    <mergeCell ref="E132:E138"/>
    <mergeCell ref="F132:F138"/>
    <mergeCell ref="G132:G138"/>
    <mergeCell ref="D139:D144"/>
    <mergeCell ref="E139:E144"/>
    <mergeCell ref="F139:F144"/>
    <mergeCell ref="G139:G144"/>
    <mergeCell ref="D145:D153"/>
    <mergeCell ref="E145:E153"/>
    <mergeCell ref="F145:F153"/>
    <mergeCell ref="G145:G153"/>
    <mergeCell ref="G104:G109"/>
    <mergeCell ref="F92:G92"/>
    <mergeCell ref="D93:D99"/>
    <mergeCell ref="E93:E99"/>
    <mergeCell ref="F93:F99"/>
    <mergeCell ref="G93:G99"/>
    <mergeCell ref="C110:C129"/>
    <mergeCell ref="D110:E110"/>
    <mergeCell ref="F110:G110"/>
    <mergeCell ref="D111:D116"/>
    <mergeCell ref="E111:E116"/>
    <mergeCell ref="F111:F116"/>
    <mergeCell ref="G111:G116"/>
    <mergeCell ref="D117:D121"/>
    <mergeCell ref="E117:E121"/>
    <mergeCell ref="F117:F121"/>
    <mergeCell ref="G117:G121"/>
    <mergeCell ref="D122:D129"/>
    <mergeCell ref="E122:E129"/>
    <mergeCell ref="F122:F129"/>
    <mergeCell ref="G122:G129"/>
    <mergeCell ref="C92:C109"/>
    <mergeCell ref="D92:E92"/>
    <mergeCell ref="D100:D103"/>
    <mergeCell ref="D104:D109"/>
    <mergeCell ref="E104:E109"/>
    <mergeCell ref="F104:F109"/>
    <mergeCell ref="G64:G70"/>
    <mergeCell ref="C29:C49"/>
    <mergeCell ref="G43:G49"/>
    <mergeCell ref="C50:C70"/>
    <mergeCell ref="D50:E50"/>
    <mergeCell ref="F50:G50"/>
    <mergeCell ref="D51:D57"/>
    <mergeCell ref="E51:E57"/>
    <mergeCell ref="F51:F57"/>
    <mergeCell ref="G51:G57"/>
    <mergeCell ref="D58:D63"/>
    <mergeCell ref="E58:E63"/>
    <mergeCell ref="F58:F63"/>
    <mergeCell ref="G58:G63"/>
    <mergeCell ref="D64:D70"/>
    <mergeCell ref="E64:E70"/>
    <mergeCell ref="F64:F70"/>
    <mergeCell ref="D43:D49"/>
    <mergeCell ref="C71:C91"/>
    <mergeCell ref="D71:E71"/>
    <mergeCell ref="F71:G71"/>
    <mergeCell ref="F14:F19"/>
    <mergeCell ref="D14:D19"/>
    <mergeCell ref="G7:G13"/>
    <mergeCell ref="G14:G19"/>
    <mergeCell ref="G20:G28"/>
    <mergeCell ref="F20:F28"/>
    <mergeCell ref="E20:E28"/>
    <mergeCell ref="D20:D28"/>
    <mergeCell ref="E100:E103"/>
    <mergeCell ref="F100:F103"/>
    <mergeCell ref="G100:G103"/>
    <mergeCell ref="D72:D78"/>
    <mergeCell ref="E72:E78"/>
    <mergeCell ref="F72:F78"/>
    <mergeCell ref="G72:G78"/>
    <mergeCell ref="D79:D84"/>
    <mergeCell ref="E79:E84"/>
    <mergeCell ref="F79:F84"/>
    <mergeCell ref="G79:G84"/>
    <mergeCell ref="D85:D91"/>
    <mergeCell ref="E85:E91"/>
    <mergeCell ref="F85:F91"/>
    <mergeCell ref="G85:G91"/>
    <mergeCell ref="G565:G569"/>
    <mergeCell ref="D570:D573"/>
    <mergeCell ref="E570:E573"/>
    <mergeCell ref="F570:F573"/>
    <mergeCell ref="B1:C1"/>
    <mergeCell ref="C5:C28"/>
    <mergeCell ref="D29:E29"/>
    <mergeCell ref="F29:G29"/>
    <mergeCell ref="D30:D36"/>
    <mergeCell ref="E30:E36"/>
    <mergeCell ref="F30:F36"/>
    <mergeCell ref="G30:G36"/>
    <mergeCell ref="D5:E6"/>
    <mergeCell ref="F5:G6"/>
    <mergeCell ref="E43:E49"/>
    <mergeCell ref="F43:F49"/>
    <mergeCell ref="D37:D42"/>
    <mergeCell ref="E37:E42"/>
    <mergeCell ref="F37:F42"/>
    <mergeCell ref="G37:G42"/>
    <mergeCell ref="F7:F13"/>
    <mergeCell ref="E7:E13"/>
    <mergeCell ref="D7:D13"/>
    <mergeCell ref="E14:E19"/>
    <mergeCell ref="G614:G620"/>
    <mergeCell ref="C621:C623"/>
    <mergeCell ref="D621:D623"/>
    <mergeCell ref="E621:E623"/>
    <mergeCell ref="D574:E575"/>
    <mergeCell ref="F574:G575"/>
    <mergeCell ref="C543:C558"/>
    <mergeCell ref="D543:E544"/>
    <mergeCell ref="F543:G544"/>
    <mergeCell ref="D554:D558"/>
    <mergeCell ref="E554:E558"/>
    <mergeCell ref="F554:F558"/>
    <mergeCell ref="G554:G558"/>
    <mergeCell ref="C559:C573"/>
    <mergeCell ref="D559:E560"/>
    <mergeCell ref="D545:D549"/>
    <mergeCell ref="E545:E549"/>
    <mergeCell ref="F545:F549"/>
    <mergeCell ref="G545:G549"/>
    <mergeCell ref="D550:D553"/>
    <mergeCell ref="E550:E553"/>
    <mergeCell ref="F550:F553"/>
    <mergeCell ref="G550:G553"/>
    <mergeCell ref="F559:G560"/>
    <mergeCell ref="F515:F519"/>
    <mergeCell ref="G515:G519"/>
    <mergeCell ref="D520:D525"/>
    <mergeCell ref="E520:E525"/>
    <mergeCell ref="F520:F525"/>
    <mergeCell ref="G520:G525"/>
    <mergeCell ref="D509:D514"/>
    <mergeCell ref="C635:C655"/>
    <mergeCell ref="D635:E636"/>
    <mergeCell ref="F635:G636"/>
    <mergeCell ref="C598:C620"/>
    <mergeCell ref="D598:E599"/>
    <mergeCell ref="F598:G599"/>
    <mergeCell ref="D600:D606"/>
    <mergeCell ref="E600:E606"/>
    <mergeCell ref="F600:F606"/>
    <mergeCell ref="G600:G606"/>
    <mergeCell ref="D607:D613"/>
    <mergeCell ref="E607:E613"/>
    <mergeCell ref="F607:F613"/>
    <mergeCell ref="G607:G613"/>
    <mergeCell ref="D614:D620"/>
    <mergeCell ref="E614:E620"/>
    <mergeCell ref="F614:F620"/>
    <mergeCell ref="G570:G573"/>
    <mergeCell ref="C507:C525"/>
    <mergeCell ref="F507:G508"/>
    <mergeCell ref="D507:E508"/>
    <mergeCell ref="C526:C542"/>
    <mergeCell ref="D526:E527"/>
    <mergeCell ref="F526:G527"/>
    <mergeCell ref="D528:D532"/>
    <mergeCell ref="E528:E532"/>
    <mergeCell ref="F528:F532"/>
    <mergeCell ref="G528:G532"/>
    <mergeCell ref="D533:D537"/>
    <mergeCell ref="E533:E537"/>
    <mergeCell ref="F533:F537"/>
    <mergeCell ref="G533:G537"/>
    <mergeCell ref="D538:D542"/>
    <mergeCell ref="E538:E542"/>
    <mergeCell ref="F538:F542"/>
    <mergeCell ref="G538:G542"/>
    <mergeCell ref="E509:E514"/>
    <mergeCell ref="F509:F514"/>
    <mergeCell ref="G509:G514"/>
    <mergeCell ref="D515:D519"/>
    <mergeCell ref="E515:E519"/>
    <mergeCell ref="P5:P13"/>
    <mergeCell ref="F621:F623"/>
    <mergeCell ref="G621:G623"/>
    <mergeCell ref="B507:B623"/>
    <mergeCell ref="G576:G583"/>
    <mergeCell ref="D584:D590"/>
    <mergeCell ref="E584:E590"/>
    <mergeCell ref="F584:F590"/>
    <mergeCell ref="G584:G590"/>
    <mergeCell ref="D591:D597"/>
    <mergeCell ref="E591:E597"/>
    <mergeCell ref="F591:F597"/>
    <mergeCell ref="G591:G597"/>
    <mergeCell ref="C574:C597"/>
    <mergeCell ref="D576:D583"/>
    <mergeCell ref="E576:E583"/>
    <mergeCell ref="F576:F583"/>
    <mergeCell ref="D561:D564"/>
    <mergeCell ref="E561:E564"/>
    <mergeCell ref="F561:F564"/>
    <mergeCell ref="G561:G564"/>
    <mergeCell ref="D565:D569"/>
    <mergeCell ref="E565:E569"/>
    <mergeCell ref="F565:F569"/>
    <mergeCell ref="M14:M19"/>
    <mergeCell ref="N14:N19"/>
    <mergeCell ref="O14:O19"/>
    <mergeCell ref="M20:M28"/>
    <mergeCell ref="N20:N28"/>
    <mergeCell ref="O20:O28"/>
    <mergeCell ref="O5:O13"/>
    <mergeCell ref="M5:M13"/>
    <mergeCell ref="N5:N13"/>
    <mergeCell ref="M29:M36"/>
    <mergeCell ref="N29:N36"/>
    <mergeCell ref="O29:O36"/>
    <mergeCell ref="M37:M42"/>
    <mergeCell ref="N37:N42"/>
    <mergeCell ref="O37:O42"/>
    <mergeCell ref="M43:M49"/>
    <mergeCell ref="N43:N49"/>
    <mergeCell ref="O43:O49"/>
    <mergeCell ref="M50:M57"/>
    <mergeCell ref="N50:N57"/>
    <mergeCell ref="O50:O57"/>
    <mergeCell ref="M58:M63"/>
    <mergeCell ref="N58:N63"/>
    <mergeCell ref="O58:O63"/>
    <mergeCell ref="M64:M70"/>
    <mergeCell ref="N64:N70"/>
    <mergeCell ref="O64:O70"/>
    <mergeCell ref="M71:M78"/>
    <mergeCell ref="N71:N78"/>
    <mergeCell ref="O71:O78"/>
    <mergeCell ref="M79:M84"/>
    <mergeCell ref="N79:N84"/>
    <mergeCell ref="O79:O84"/>
    <mergeCell ref="M85:M91"/>
    <mergeCell ref="N85:N91"/>
    <mergeCell ref="O85:O91"/>
    <mergeCell ref="M92:M99"/>
    <mergeCell ref="N92:N99"/>
    <mergeCell ref="O92:O99"/>
    <mergeCell ref="M100:M103"/>
    <mergeCell ref="N100:N103"/>
    <mergeCell ref="O100:O103"/>
    <mergeCell ref="M104:M109"/>
    <mergeCell ref="N104:N109"/>
    <mergeCell ref="O104:O109"/>
    <mergeCell ref="M110:M116"/>
    <mergeCell ref="O110:O116"/>
    <mergeCell ref="N110:N116"/>
    <mergeCell ref="M117:M121"/>
    <mergeCell ref="O117:O121"/>
    <mergeCell ref="N117:N121"/>
    <mergeCell ref="M122:M129"/>
    <mergeCell ref="O122:O129"/>
    <mergeCell ref="N122:N129"/>
    <mergeCell ref="M130:M138"/>
    <mergeCell ref="N130:N138"/>
    <mergeCell ref="O130:O138"/>
    <mergeCell ref="M139:M144"/>
    <mergeCell ref="O139:O144"/>
    <mergeCell ref="N139:N144"/>
    <mergeCell ref="M145:M153"/>
    <mergeCell ref="N145:N153"/>
    <mergeCell ref="O145:O153"/>
    <mergeCell ref="M154:M157"/>
    <mergeCell ref="N154:N157"/>
    <mergeCell ref="O154:O157"/>
    <mergeCell ref="M158:M160"/>
    <mergeCell ref="N158:N160"/>
    <mergeCell ref="O158:O160"/>
    <mergeCell ref="M161:M164"/>
    <mergeCell ref="N161:N164"/>
    <mergeCell ref="O161:O164"/>
    <mergeCell ref="M165:M167"/>
    <mergeCell ref="O165:O167"/>
    <mergeCell ref="N165:N167"/>
    <mergeCell ref="M168:M169"/>
    <mergeCell ref="N168:N169"/>
    <mergeCell ref="O168:O169"/>
    <mergeCell ref="M170:M180"/>
    <mergeCell ref="N170:N180"/>
    <mergeCell ref="O170:O180"/>
    <mergeCell ref="M207:M214"/>
    <mergeCell ref="N207:N214"/>
    <mergeCell ref="O207:O214"/>
    <mergeCell ref="M215:M224"/>
    <mergeCell ref="N215:N224"/>
    <mergeCell ref="O215:O224"/>
    <mergeCell ref="M181:M189"/>
    <mergeCell ref="N181:N189"/>
    <mergeCell ref="O181:O189"/>
    <mergeCell ref="M190:M198"/>
    <mergeCell ref="N190:N198"/>
    <mergeCell ref="O190:O198"/>
    <mergeCell ref="M199:M206"/>
    <mergeCell ref="N199:N206"/>
    <mergeCell ref="O199:O206"/>
    <mergeCell ref="M225:M232"/>
    <mergeCell ref="N225:N232"/>
    <mergeCell ref="O225:O232"/>
    <mergeCell ref="M233:M240"/>
    <mergeCell ref="N233:N240"/>
    <mergeCell ref="O233:O240"/>
    <mergeCell ref="M241:M248"/>
    <mergeCell ref="O241:O248"/>
    <mergeCell ref="N241:N248"/>
    <mergeCell ref="M249:M258"/>
    <mergeCell ref="O249:O258"/>
    <mergeCell ref="N249:N258"/>
    <mergeCell ref="M259:M267"/>
    <mergeCell ref="N259:N267"/>
    <mergeCell ref="O259:O267"/>
    <mergeCell ref="M268:M276"/>
    <mergeCell ref="N268:N276"/>
    <mergeCell ref="O268:O276"/>
    <mergeCell ref="M277:M280"/>
    <mergeCell ref="N277:N280"/>
    <mergeCell ref="O277:O280"/>
    <mergeCell ref="M281:M287"/>
    <mergeCell ref="O281:O287"/>
    <mergeCell ref="N281:N287"/>
    <mergeCell ref="M288:M293"/>
    <mergeCell ref="N288:N293"/>
    <mergeCell ref="O288:O293"/>
    <mergeCell ref="M294:M301"/>
    <mergeCell ref="N294:N301"/>
    <mergeCell ref="O294:O301"/>
    <mergeCell ref="M302:M309"/>
    <mergeCell ref="N302:N309"/>
    <mergeCell ref="O302:O309"/>
    <mergeCell ref="M310:M314"/>
    <mergeCell ref="N310:N314"/>
    <mergeCell ref="O310:O314"/>
    <mergeCell ref="M315:M321"/>
    <mergeCell ref="N315:N321"/>
    <mergeCell ref="O315:O321"/>
    <mergeCell ref="M322:M329"/>
    <mergeCell ref="O322:O329"/>
    <mergeCell ref="N322:N329"/>
    <mergeCell ref="M330:M334"/>
    <mergeCell ref="N330:N334"/>
    <mergeCell ref="O330:O334"/>
    <mergeCell ref="N335:N339"/>
    <mergeCell ref="O335:O339"/>
    <mergeCell ref="M335:M339"/>
    <mergeCell ref="M340:M346"/>
    <mergeCell ref="N340:N346"/>
    <mergeCell ref="O340:O346"/>
    <mergeCell ref="M347:M352"/>
    <mergeCell ref="N347:N352"/>
    <mergeCell ref="O347:O352"/>
    <mergeCell ref="M353:M359"/>
    <mergeCell ref="N353:N359"/>
    <mergeCell ref="O353:O359"/>
    <mergeCell ref="M360:M365"/>
    <mergeCell ref="N360:N365"/>
    <mergeCell ref="O360:O365"/>
    <mergeCell ref="M366:M371"/>
    <mergeCell ref="N366:N371"/>
    <mergeCell ref="O366:O371"/>
    <mergeCell ref="M372:M377"/>
    <mergeCell ref="N372:N377"/>
    <mergeCell ref="O372:O377"/>
    <mergeCell ref="M378:M384"/>
    <mergeCell ref="N378:N384"/>
    <mergeCell ref="O378:O384"/>
    <mergeCell ref="M385:M390"/>
    <mergeCell ref="N385:N390"/>
    <mergeCell ref="O385:O390"/>
    <mergeCell ref="M391:M398"/>
    <mergeCell ref="O391:O398"/>
    <mergeCell ref="N391:N398"/>
    <mergeCell ref="M399:M402"/>
    <mergeCell ref="N399:N402"/>
    <mergeCell ref="O399:O402"/>
    <mergeCell ref="M403:M405"/>
    <mergeCell ref="N403:N405"/>
    <mergeCell ref="O403:O405"/>
    <mergeCell ref="O406:O409"/>
    <mergeCell ref="N406:N409"/>
    <mergeCell ref="M406:M409"/>
    <mergeCell ref="M410:M412"/>
    <mergeCell ref="N410:N412"/>
    <mergeCell ref="O410:O412"/>
    <mergeCell ref="M413:M414"/>
    <mergeCell ref="N413:N414"/>
    <mergeCell ref="O413:O414"/>
    <mergeCell ref="M415:M425"/>
    <mergeCell ref="N415:N425"/>
    <mergeCell ref="O415:O425"/>
    <mergeCell ref="M426:M436"/>
    <mergeCell ref="N426:N436"/>
    <mergeCell ref="O426:O436"/>
    <mergeCell ref="M437:M442"/>
    <mergeCell ref="O437:O442"/>
    <mergeCell ref="N437:N442"/>
    <mergeCell ref="M443:M450"/>
    <mergeCell ref="O443:O450"/>
    <mergeCell ref="N443:N450"/>
    <mergeCell ref="M451:M459"/>
    <mergeCell ref="N451:N459"/>
    <mergeCell ref="O451:O459"/>
    <mergeCell ref="M460:M469"/>
    <mergeCell ref="N460:N469"/>
    <mergeCell ref="O460:O469"/>
    <mergeCell ref="M470:M476"/>
    <mergeCell ref="N470:N476"/>
    <mergeCell ref="O470:O476"/>
    <mergeCell ref="M477:M484"/>
    <mergeCell ref="N477:N484"/>
    <mergeCell ref="O477:O484"/>
    <mergeCell ref="M485:M493"/>
    <mergeCell ref="N485:N493"/>
    <mergeCell ref="O485:O493"/>
    <mergeCell ref="M494:M502"/>
    <mergeCell ref="N494:N502"/>
    <mergeCell ref="O494:O502"/>
    <mergeCell ref="M503:M506"/>
    <mergeCell ref="N503:N506"/>
    <mergeCell ref="O503:O506"/>
    <mergeCell ref="M507:M514"/>
    <mergeCell ref="N507:N514"/>
    <mergeCell ref="O507:O514"/>
    <mergeCell ref="M515:M519"/>
    <mergeCell ref="N515:N519"/>
    <mergeCell ref="O515:O519"/>
    <mergeCell ref="M520:M525"/>
    <mergeCell ref="N520:N525"/>
    <mergeCell ref="O520:O525"/>
    <mergeCell ref="M526:M532"/>
    <mergeCell ref="N526:N532"/>
    <mergeCell ref="O526:O532"/>
    <mergeCell ref="N554:N558"/>
    <mergeCell ref="O554:O558"/>
    <mergeCell ref="M559:M564"/>
    <mergeCell ref="N559:N564"/>
    <mergeCell ref="O559:O564"/>
    <mergeCell ref="M533:M537"/>
    <mergeCell ref="N533:N537"/>
    <mergeCell ref="O533:O537"/>
    <mergeCell ref="M538:M542"/>
    <mergeCell ref="N538:N542"/>
    <mergeCell ref="O538:O542"/>
    <mergeCell ref="M543:M549"/>
    <mergeCell ref="N543:N549"/>
    <mergeCell ref="O543:O549"/>
    <mergeCell ref="M614:M620"/>
    <mergeCell ref="N614:N620"/>
    <mergeCell ref="O614:O620"/>
    <mergeCell ref="M621:M623"/>
    <mergeCell ref="N621:N623"/>
    <mergeCell ref="O621:O623"/>
    <mergeCell ref="M584:M590"/>
    <mergeCell ref="N584:N590"/>
    <mergeCell ref="O584:O590"/>
    <mergeCell ref="M591:M597"/>
    <mergeCell ref="O591:O597"/>
    <mergeCell ref="N591:N597"/>
    <mergeCell ref="M598:M606"/>
    <mergeCell ref="N598:N606"/>
    <mergeCell ref="O598:O606"/>
    <mergeCell ref="P14:P19"/>
    <mergeCell ref="P20:P28"/>
    <mergeCell ref="P29:P36"/>
    <mergeCell ref="P37:P42"/>
    <mergeCell ref="P43:P49"/>
    <mergeCell ref="P50:P57"/>
    <mergeCell ref="P58:P63"/>
    <mergeCell ref="P64:P70"/>
    <mergeCell ref="M607:M613"/>
    <mergeCell ref="N607:N613"/>
    <mergeCell ref="O607:O613"/>
    <mergeCell ref="M565:M569"/>
    <mergeCell ref="N565:N569"/>
    <mergeCell ref="O565:O569"/>
    <mergeCell ref="M570:M573"/>
    <mergeCell ref="N570:N573"/>
    <mergeCell ref="O570:O573"/>
    <mergeCell ref="M574:M583"/>
    <mergeCell ref="N574:N583"/>
    <mergeCell ref="O574:O583"/>
    <mergeCell ref="M550:M553"/>
    <mergeCell ref="N550:N553"/>
    <mergeCell ref="O550:O553"/>
    <mergeCell ref="M554:M558"/>
    <mergeCell ref="P71:P78"/>
    <mergeCell ref="P79:P84"/>
    <mergeCell ref="P85:P91"/>
    <mergeCell ref="P92:P99"/>
    <mergeCell ref="P100:P103"/>
    <mergeCell ref="P104:P109"/>
    <mergeCell ref="P110:P116"/>
    <mergeCell ref="P117:P121"/>
    <mergeCell ref="P122:P129"/>
    <mergeCell ref="P181:P189"/>
    <mergeCell ref="P190:P198"/>
    <mergeCell ref="P199:P206"/>
    <mergeCell ref="P207:P214"/>
    <mergeCell ref="P215:P224"/>
    <mergeCell ref="P225:P232"/>
    <mergeCell ref="P233:P240"/>
    <mergeCell ref="P241:P248"/>
    <mergeCell ref="P130:P138"/>
    <mergeCell ref="P139:P144"/>
    <mergeCell ref="P145:P153"/>
    <mergeCell ref="P154:P157"/>
    <mergeCell ref="P158:P160"/>
    <mergeCell ref="P161:P164"/>
    <mergeCell ref="P165:P167"/>
    <mergeCell ref="P168:P169"/>
    <mergeCell ref="P170:P180"/>
    <mergeCell ref="P249:P258"/>
    <mergeCell ref="P259:P267"/>
    <mergeCell ref="P268:P276"/>
    <mergeCell ref="P277:P280"/>
    <mergeCell ref="P281:P287"/>
    <mergeCell ref="P288:P293"/>
    <mergeCell ref="P294:P301"/>
    <mergeCell ref="P302:P309"/>
    <mergeCell ref="P310:P314"/>
    <mergeCell ref="P315:P321"/>
    <mergeCell ref="P322:P329"/>
    <mergeCell ref="P330:P334"/>
    <mergeCell ref="P335:P339"/>
    <mergeCell ref="P340:P346"/>
    <mergeCell ref="P347:P352"/>
    <mergeCell ref="P353:P359"/>
    <mergeCell ref="P360:P365"/>
    <mergeCell ref="P366:P371"/>
    <mergeCell ref="P372:P377"/>
    <mergeCell ref="P378:P384"/>
    <mergeCell ref="P385:P390"/>
    <mergeCell ref="P391:P398"/>
    <mergeCell ref="P399:P402"/>
    <mergeCell ref="P403:P405"/>
    <mergeCell ref="P406:P409"/>
    <mergeCell ref="P410:P412"/>
    <mergeCell ref="P413:P414"/>
    <mergeCell ref="P415:P425"/>
    <mergeCell ref="P426:P436"/>
    <mergeCell ref="P437:P442"/>
    <mergeCell ref="P443:P450"/>
    <mergeCell ref="P451:P459"/>
    <mergeCell ref="P460:P469"/>
    <mergeCell ref="P470:P476"/>
    <mergeCell ref="P477:P484"/>
    <mergeCell ref="P485:P493"/>
    <mergeCell ref="P494:P502"/>
    <mergeCell ref="P503:P506"/>
    <mergeCell ref="P507:P514"/>
    <mergeCell ref="P515:P519"/>
    <mergeCell ref="P520:P525"/>
    <mergeCell ref="P526:P532"/>
    <mergeCell ref="P533:P537"/>
    <mergeCell ref="P538:P542"/>
    <mergeCell ref="P550:P553"/>
    <mergeCell ref="P543:P549"/>
    <mergeCell ref="P607:P613"/>
    <mergeCell ref="P614:P620"/>
    <mergeCell ref="P621:P623"/>
    <mergeCell ref="P554:P558"/>
    <mergeCell ref="P559:P564"/>
    <mergeCell ref="P565:P569"/>
    <mergeCell ref="P570:P573"/>
    <mergeCell ref="P574:P583"/>
    <mergeCell ref="P584:P590"/>
    <mergeCell ref="P591:P597"/>
    <mergeCell ref="P598:P606"/>
  </mergeCells>
  <phoneticPr fontId="1" type="noConversion"/>
  <dataValidations disablePrompts="1" count="1">
    <dataValidation type="list" allowBlank="1" showInputMessage="1" showErrorMessage="1" sqref="B3">
      <formula1>"一级,二级,三级,四级"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37"/>
  <sheetViews>
    <sheetView workbookViewId="0"/>
  </sheetViews>
  <sheetFormatPr defaultRowHeight="13.5" x14ac:dyDescent="0.15"/>
  <cols>
    <col min="2" max="5" width="9" style="64"/>
    <col min="9" max="9" width="13.375" bestFit="1" customWidth="1"/>
    <col min="10" max="10" width="13.375" customWidth="1"/>
    <col min="11" max="11" width="8.875" bestFit="1" customWidth="1"/>
  </cols>
  <sheetData>
    <row r="1" spans="2:5" ht="14.25" thickBot="1" x14ac:dyDescent="0.2"/>
    <row r="2" spans="2:5" ht="14.25" thickBot="1" x14ac:dyDescent="0.2">
      <c r="B2" s="227" t="s">
        <v>171</v>
      </c>
      <c r="C2" s="228"/>
      <c r="D2" s="228"/>
      <c r="E2" s="229"/>
    </row>
    <row r="3" spans="2:5" ht="14.25" thickBot="1" x14ac:dyDescent="0.2">
      <c r="B3" s="116" t="s">
        <v>165</v>
      </c>
      <c r="C3" s="116" t="s">
        <v>166</v>
      </c>
      <c r="D3" s="116" t="s">
        <v>167</v>
      </c>
      <c r="E3" s="117" t="s">
        <v>168</v>
      </c>
    </row>
    <row r="4" spans="2:5" x14ac:dyDescent="0.15">
      <c r="B4" s="86">
        <v>1</v>
      </c>
      <c r="C4" s="65">
        <v>10</v>
      </c>
      <c r="D4" s="65">
        <v>200</v>
      </c>
      <c r="E4" s="87">
        <v>4054</v>
      </c>
    </row>
    <row r="5" spans="2:5" x14ac:dyDescent="0.15">
      <c r="B5" s="61">
        <v>2</v>
      </c>
      <c r="C5" s="63">
        <v>8</v>
      </c>
      <c r="D5" s="63">
        <v>150</v>
      </c>
      <c r="E5" s="62">
        <v>7049</v>
      </c>
    </row>
    <row r="6" spans="2:5" x14ac:dyDescent="0.15">
      <c r="B6" s="61">
        <v>3</v>
      </c>
      <c r="C6" s="63">
        <v>16</v>
      </c>
      <c r="D6" s="63">
        <v>200</v>
      </c>
      <c r="E6" s="62">
        <v>1430</v>
      </c>
    </row>
    <row r="7" spans="2:5" x14ac:dyDescent="0.15">
      <c r="B7" s="61">
        <v>4</v>
      </c>
      <c r="C7" s="63">
        <v>8</v>
      </c>
      <c r="D7" s="63">
        <v>100</v>
      </c>
      <c r="E7" s="62">
        <v>1430</v>
      </c>
    </row>
    <row r="8" spans="2:5" x14ac:dyDescent="0.15">
      <c r="B8" s="61">
        <v>5</v>
      </c>
      <c r="C8" s="63">
        <v>12</v>
      </c>
      <c r="D8" s="63">
        <v>200</v>
      </c>
      <c r="E8" s="62">
        <v>1430</v>
      </c>
    </row>
    <row r="9" spans="2:5" x14ac:dyDescent="0.15">
      <c r="B9" s="61">
        <v>6</v>
      </c>
      <c r="C9" s="63">
        <v>8</v>
      </c>
      <c r="D9" s="63">
        <v>200</v>
      </c>
      <c r="E9" s="62">
        <v>1530</v>
      </c>
    </row>
    <row r="10" spans="2:5" x14ac:dyDescent="0.15">
      <c r="B10" s="61">
        <v>7</v>
      </c>
      <c r="C10" s="63">
        <v>12</v>
      </c>
      <c r="D10" s="63">
        <v>150</v>
      </c>
      <c r="E10" s="62">
        <v>4000</v>
      </c>
    </row>
    <row r="11" spans="2:5" x14ac:dyDescent="0.15">
      <c r="B11" s="61">
        <v>8</v>
      </c>
      <c r="C11" s="63">
        <v>10</v>
      </c>
      <c r="D11" s="63">
        <v>200</v>
      </c>
      <c r="E11" s="62">
        <v>7049</v>
      </c>
    </row>
    <row r="12" spans="2:5" x14ac:dyDescent="0.15">
      <c r="B12" s="61">
        <v>9</v>
      </c>
      <c r="C12" s="63">
        <v>10</v>
      </c>
      <c r="D12" s="63">
        <v>200</v>
      </c>
      <c r="E12" s="62">
        <v>1530</v>
      </c>
    </row>
    <row r="13" spans="2:5" x14ac:dyDescent="0.15">
      <c r="B13" s="61">
        <v>10</v>
      </c>
      <c r="C13" s="63">
        <v>8</v>
      </c>
      <c r="D13" s="63">
        <v>200</v>
      </c>
      <c r="E13" s="62">
        <v>1300</v>
      </c>
    </row>
    <row r="14" spans="2:5" x14ac:dyDescent="0.15">
      <c r="B14" s="61">
        <v>11</v>
      </c>
      <c r="C14" s="63">
        <v>14</v>
      </c>
      <c r="D14" s="63">
        <v>100</v>
      </c>
      <c r="E14" s="62">
        <v>1430</v>
      </c>
    </row>
    <row r="15" spans="2:5" x14ac:dyDescent="0.15">
      <c r="B15" s="61">
        <v>12</v>
      </c>
      <c r="C15" s="63">
        <v>8</v>
      </c>
      <c r="D15" s="63">
        <v>150</v>
      </c>
      <c r="E15" s="62">
        <v>7624</v>
      </c>
    </row>
    <row r="16" spans="2:5" x14ac:dyDescent="0.15">
      <c r="B16" s="61">
        <v>13</v>
      </c>
      <c r="C16" s="63">
        <v>8</v>
      </c>
      <c r="D16" s="63">
        <v>150</v>
      </c>
      <c r="E16" s="62">
        <v>3154</v>
      </c>
    </row>
    <row r="17" spans="2:14" x14ac:dyDescent="0.15">
      <c r="B17" s="61">
        <v>14</v>
      </c>
      <c r="C17" s="63">
        <v>10</v>
      </c>
      <c r="D17" s="63">
        <v>200</v>
      </c>
      <c r="E17" s="62">
        <v>1230</v>
      </c>
    </row>
    <row r="18" spans="2:14" x14ac:dyDescent="0.15">
      <c r="B18" s="61">
        <v>15</v>
      </c>
      <c r="C18" s="63">
        <v>10</v>
      </c>
      <c r="D18" s="63">
        <v>125</v>
      </c>
      <c r="E18" s="62">
        <v>1430</v>
      </c>
    </row>
    <row r="19" spans="2:14" x14ac:dyDescent="0.15">
      <c r="B19" s="61">
        <v>16</v>
      </c>
      <c r="C19" s="63">
        <v>8</v>
      </c>
      <c r="D19" s="63">
        <v>200</v>
      </c>
      <c r="E19" s="62">
        <v>1350</v>
      </c>
    </row>
    <row r="20" spans="2:14" x14ac:dyDescent="0.15">
      <c r="B20" s="61">
        <v>17</v>
      </c>
      <c r="C20" s="63">
        <v>8</v>
      </c>
      <c r="D20" s="63">
        <v>150</v>
      </c>
      <c r="E20" s="62">
        <v>7654</v>
      </c>
    </row>
    <row r="21" spans="2:14" x14ac:dyDescent="0.15">
      <c r="B21" s="61">
        <v>18</v>
      </c>
      <c r="C21" s="63">
        <v>8</v>
      </c>
      <c r="D21" s="63">
        <v>150</v>
      </c>
      <c r="E21" s="62">
        <v>1230</v>
      </c>
    </row>
    <row r="22" spans="2:14" x14ac:dyDescent="0.15">
      <c r="B22" s="61">
        <v>19</v>
      </c>
      <c r="C22" s="63">
        <v>12</v>
      </c>
      <c r="D22" s="63">
        <v>150</v>
      </c>
      <c r="E22" s="62">
        <v>1430</v>
      </c>
      <c r="G22" s="66"/>
    </row>
    <row r="23" spans="2:14" x14ac:dyDescent="0.15">
      <c r="B23" s="61">
        <v>20</v>
      </c>
      <c r="C23" s="63">
        <v>8</v>
      </c>
      <c r="D23" s="63">
        <v>100</v>
      </c>
      <c r="E23" s="62">
        <v>4049</v>
      </c>
    </row>
    <row r="24" spans="2:14" x14ac:dyDescent="0.15">
      <c r="B24" s="61">
        <v>21</v>
      </c>
      <c r="C24" s="63">
        <v>16</v>
      </c>
      <c r="D24" s="63">
        <v>200</v>
      </c>
      <c r="E24" s="62">
        <v>2402</v>
      </c>
      <c r="G24" s="66"/>
    </row>
    <row r="25" spans="2:14" ht="14.25" thickBot="1" x14ac:dyDescent="0.2">
      <c r="B25" s="20">
        <v>22</v>
      </c>
      <c r="C25" s="8">
        <v>8</v>
      </c>
      <c r="D25" s="8">
        <v>100</v>
      </c>
      <c r="E25" s="9">
        <v>4059</v>
      </c>
    </row>
    <row r="27" spans="2:14" ht="14.25" thickBot="1" x14ac:dyDescent="0.2"/>
    <row r="28" spans="2:14" ht="14.25" thickBot="1" x14ac:dyDescent="0.2">
      <c r="B28" s="230" t="s">
        <v>169</v>
      </c>
      <c r="C28" s="231"/>
      <c r="D28" s="231"/>
      <c r="E28" s="231"/>
      <c r="F28" s="231"/>
      <c r="G28" s="231"/>
      <c r="H28" s="231"/>
      <c r="I28" s="231"/>
      <c r="J28" s="231"/>
      <c r="K28" s="232"/>
      <c r="L28" s="126">
        <v>0.12</v>
      </c>
      <c r="M28" s="127"/>
      <c r="N28" s="127"/>
    </row>
    <row r="29" spans="2:14" ht="16.5" thickBot="1" x14ac:dyDescent="0.2">
      <c r="B29" s="116" t="s">
        <v>170</v>
      </c>
      <c r="C29" s="116" t="s">
        <v>173</v>
      </c>
      <c r="D29" s="116" t="s">
        <v>176</v>
      </c>
      <c r="E29" s="116" t="s">
        <v>172</v>
      </c>
      <c r="F29" s="116" t="s">
        <v>174</v>
      </c>
      <c r="G29" s="116" t="s">
        <v>166</v>
      </c>
      <c r="H29" s="116" t="s">
        <v>168</v>
      </c>
      <c r="I29" s="117" t="s">
        <v>175</v>
      </c>
      <c r="J29" s="117" t="s">
        <v>191</v>
      </c>
      <c r="K29" s="116" t="s">
        <v>195</v>
      </c>
      <c r="L29" s="125" t="s">
        <v>177</v>
      </c>
      <c r="M29" s="125" t="s">
        <v>182</v>
      </c>
      <c r="N29" s="125" t="s">
        <v>183</v>
      </c>
    </row>
    <row r="30" spans="2:14" x14ac:dyDescent="0.15">
      <c r="B30" s="202">
        <v>1</v>
      </c>
      <c r="C30" s="202">
        <v>1</v>
      </c>
      <c r="D30" s="202">
        <v>6600</v>
      </c>
      <c r="E30" s="65">
        <v>3</v>
      </c>
      <c r="F30" s="65">
        <f>IF(D30/VLOOKUP(E30,$B$4:$E$25,3,0)=0,D30/VLOOKUP(E30,$B$4:$E$25,3,0),INT(D30/VLOOKUP(E30,$B$4:$E$25,3,0))+1)</f>
        <v>34</v>
      </c>
      <c r="G30" s="65">
        <f>VLOOKUP(E30,$B$4:$E$25,2,0)</f>
        <v>16</v>
      </c>
      <c r="H30" s="65">
        <f>VLOOKUP(E30,$B$4:$E$25,4,0)</f>
        <v>1430</v>
      </c>
      <c r="I30" s="89">
        <f t="shared" ref="I30:I61" si="0">F30*(G30/10)^2*0.617*H30/1000</f>
        <v>76.796262400000018</v>
      </c>
      <c r="J30" s="200">
        <f>SUM(I30:I35)</f>
        <v>306.99896240000004</v>
      </c>
      <c r="K30" s="202">
        <f>PRODUCT(D30:D35)/10^6</f>
        <v>23.76</v>
      </c>
      <c r="L30" s="202">
        <f>K30*$L$28</f>
        <v>2.8512</v>
      </c>
      <c r="M30" s="202">
        <v>1</v>
      </c>
      <c r="N30" s="202"/>
    </row>
    <row r="31" spans="2:14" x14ac:dyDescent="0.15">
      <c r="B31" s="189"/>
      <c r="C31" s="189"/>
      <c r="D31" s="189"/>
      <c r="E31" s="63">
        <v>5</v>
      </c>
      <c r="F31" s="65">
        <f>IF(D30/VLOOKUP(E31,$B$4:$E$25,3,0)=0,D30/VLOOKUP(E31,$B$4:$E$25,3,0),INT(D30/VLOOKUP(E31,$B$4:$E$25,3,0))+1)</f>
        <v>34</v>
      </c>
      <c r="G31" s="63">
        <f t="shared" ref="G31:G32" si="1">VLOOKUP(E31,$B$4:$E$25,2,0)</f>
        <v>12</v>
      </c>
      <c r="H31" s="63">
        <f t="shared" ref="H31:H32" si="2">VLOOKUP(E31,$B$4:$E$25,4,0)</f>
        <v>1430</v>
      </c>
      <c r="I31" s="88">
        <f t="shared" si="0"/>
        <v>43.197897600000005</v>
      </c>
      <c r="J31" s="201"/>
      <c r="K31" s="189"/>
      <c r="L31" s="189"/>
      <c r="M31" s="189"/>
      <c r="N31" s="189"/>
    </row>
    <row r="32" spans="2:14" x14ac:dyDescent="0.15">
      <c r="B32" s="189"/>
      <c r="C32" s="189"/>
      <c r="D32" s="189"/>
      <c r="E32" s="63">
        <v>1</v>
      </c>
      <c r="F32" s="65">
        <f>IF(D30/VLOOKUP(E32,$B$4:$E$25,3,0)=0,D30/VLOOKUP(E32,$B$4:$E$25,3,0),INT(D30/VLOOKUP(E32,$B$4:$E$25,3,0))+1)</f>
        <v>34</v>
      </c>
      <c r="G32" s="63">
        <f t="shared" si="1"/>
        <v>10</v>
      </c>
      <c r="H32" s="63">
        <f t="shared" si="2"/>
        <v>4054</v>
      </c>
      <c r="I32" s="88">
        <f t="shared" si="0"/>
        <v>85.044812000000007</v>
      </c>
      <c r="J32" s="201"/>
      <c r="K32" s="189"/>
      <c r="L32" s="189"/>
      <c r="M32" s="189"/>
      <c r="N32" s="189"/>
    </row>
    <row r="33" spans="2:14" x14ac:dyDescent="0.15">
      <c r="B33" s="189"/>
      <c r="C33" s="189"/>
      <c r="D33" s="189">
        <v>3600</v>
      </c>
      <c r="E33" s="63">
        <v>6</v>
      </c>
      <c r="F33" s="65">
        <f>IF(D33/VLOOKUP(E33,$B$4:$E$25,3,0)=0,D33/VLOOKUP(E33,$B$4:$E$25,3,0),INT(D33/VLOOKUP(E33,$B$4:$E$25,3,0))+1)</f>
        <v>19</v>
      </c>
      <c r="G33" s="63">
        <f>VLOOKUP(E33,$B$4:$E$25,2,0)</f>
        <v>8</v>
      </c>
      <c r="H33" s="63">
        <f>VLOOKUP(E33,$B$4:$E$25,4,0)</f>
        <v>1530</v>
      </c>
      <c r="I33" s="88">
        <f t="shared" si="0"/>
        <v>11.479161600000001</v>
      </c>
      <c r="J33" s="201"/>
      <c r="K33" s="189"/>
      <c r="L33" s="189"/>
      <c r="M33" s="189"/>
      <c r="N33" s="189"/>
    </row>
    <row r="34" spans="2:14" x14ac:dyDescent="0.15">
      <c r="B34" s="189"/>
      <c r="C34" s="189"/>
      <c r="D34" s="189"/>
      <c r="E34" s="63">
        <v>2</v>
      </c>
      <c r="F34" s="65">
        <f>IF(D33/VLOOKUP(E34,$B$4:$E$25,3,0)=0,D33/VLOOKUP(E34,$B$4:$E$25,3,0),INT(D33/VLOOKUP(E34,$B$4:$E$25,3,0))+1)</f>
        <v>25</v>
      </c>
      <c r="G34" s="63">
        <f t="shared" ref="G34:G35" si="3">VLOOKUP(E34,$B$4:$E$25,2,0)</f>
        <v>8</v>
      </c>
      <c r="H34" s="63">
        <f t="shared" ref="H34:H35" si="4">VLOOKUP(E34,$B$4:$E$25,4,0)</f>
        <v>7049</v>
      </c>
      <c r="I34" s="88">
        <f t="shared" si="0"/>
        <v>69.587728000000013</v>
      </c>
      <c r="J34" s="201"/>
      <c r="K34" s="189"/>
      <c r="L34" s="189"/>
      <c r="M34" s="189"/>
      <c r="N34" s="189"/>
    </row>
    <row r="35" spans="2:14" x14ac:dyDescent="0.15">
      <c r="B35" s="189"/>
      <c r="C35" s="189"/>
      <c r="D35" s="189"/>
      <c r="E35" s="63">
        <v>4</v>
      </c>
      <c r="F35" s="65">
        <f>IF(D33/VLOOKUP(E35,$B$4:$E$25,3,0)=0,D33/VLOOKUP(E35,$B$4:$E$25,3,0),INT(D33/VLOOKUP(E35,$B$4:$E$25,3,0))+1)</f>
        <v>37</v>
      </c>
      <c r="G35" s="63">
        <f t="shared" si="3"/>
        <v>8</v>
      </c>
      <c r="H35" s="63">
        <f t="shared" si="4"/>
        <v>1430</v>
      </c>
      <c r="I35" s="88">
        <f t="shared" si="0"/>
        <v>20.893100799999999</v>
      </c>
      <c r="J35" s="201"/>
      <c r="K35" s="189"/>
      <c r="L35" s="189"/>
      <c r="M35" s="189"/>
      <c r="N35" s="189"/>
    </row>
    <row r="36" spans="2:14" x14ac:dyDescent="0.15">
      <c r="B36" s="202">
        <v>2</v>
      </c>
      <c r="C36" s="202">
        <v>14</v>
      </c>
      <c r="D36" s="202">
        <v>6600</v>
      </c>
      <c r="E36" s="65">
        <v>5</v>
      </c>
      <c r="F36" s="65">
        <f>IF(D36/VLOOKUP(E36,$B$4:$E$25,3,0)=0,D36/VLOOKUP(E36,$B$4:$E$25,3,0),INT(D36/VLOOKUP(E36,$B$4:$E$25,3,0))+1)</f>
        <v>34</v>
      </c>
      <c r="G36" s="65">
        <f>VLOOKUP(E36,$B$4:$E$25,2,0)</f>
        <v>12</v>
      </c>
      <c r="H36" s="65">
        <f>VLOOKUP(E36,$B$4:$E$25,4,0)</f>
        <v>1430</v>
      </c>
      <c r="I36" s="89">
        <f t="shared" si="0"/>
        <v>43.197897600000005</v>
      </c>
      <c r="J36" s="189">
        <f>SUM(I36:I41)</f>
        <v>300.0325388</v>
      </c>
      <c r="K36" s="202">
        <f>PRODUCT(D36:D41)/10^6</f>
        <v>23.76</v>
      </c>
      <c r="L36" s="189">
        <f t="shared" ref="L36" si="5">K36*$L$28</f>
        <v>2.8512</v>
      </c>
      <c r="M36" s="189">
        <v>8</v>
      </c>
      <c r="N36" s="189">
        <v>6</v>
      </c>
    </row>
    <row r="37" spans="2:14" x14ac:dyDescent="0.15">
      <c r="B37" s="189"/>
      <c r="C37" s="189"/>
      <c r="D37" s="189"/>
      <c r="E37" s="63">
        <v>1</v>
      </c>
      <c r="F37" s="65">
        <f>IF(D36/VLOOKUP(E37,$B$4:$E$25,3,0)=0,D36/VLOOKUP(E37,$B$4:$E$25,3,0),INT(D36/VLOOKUP(E37,$B$4:$E$25,3,0))+1)</f>
        <v>34</v>
      </c>
      <c r="G37" s="63">
        <f t="shared" ref="G37:G38" si="6">VLOOKUP(E37,$B$4:$E$25,2,0)</f>
        <v>10</v>
      </c>
      <c r="H37" s="63">
        <f t="shared" ref="H37:H38" si="7">VLOOKUP(E37,$B$4:$E$25,4,0)</f>
        <v>4054</v>
      </c>
      <c r="I37" s="88">
        <f t="shared" si="0"/>
        <v>85.044812000000007</v>
      </c>
      <c r="J37" s="189"/>
      <c r="K37" s="189"/>
      <c r="L37" s="189"/>
      <c r="M37" s="189"/>
      <c r="N37" s="189"/>
    </row>
    <row r="38" spans="2:14" x14ac:dyDescent="0.15">
      <c r="B38" s="189"/>
      <c r="C38" s="189"/>
      <c r="D38" s="189"/>
      <c r="E38" s="63">
        <v>5</v>
      </c>
      <c r="F38" s="65">
        <f>IF(D36/VLOOKUP(E38,$B$4:$E$25,3,0)=0,D36/VLOOKUP(E38,$B$4:$E$25,3,0),INT(D36/VLOOKUP(E38,$B$4:$E$25,3,0))+1)</f>
        <v>34</v>
      </c>
      <c r="G38" s="63">
        <f t="shared" si="6"/>
        <v>12</v>
      </c>
      <c r="H38" s="63">
        <f t="shared" si="7"/>
        <v>1430</v>
      </c>
      <c r="I38" s="88">
        <f t="shared" si="0"/>
        <v>43.197897600000005</v>
      </c>
      <c r="J38" s="189"/>
      <c r="K38" s="189"/>
      <c r="L38" s="189"/>
      <c r="M38" s="189"/>
      <c r="N38" s="189"/>
    </row>
    <row r="39" spans="2:14" x14ac:dyDescent="0.15">
      <c r="B39" s="189"/>
      <c r="C39" s="189"/>
      <c r="D39" s="189">
        <v>3600</v>
      </c>
      <c r="E39" s="63">
        <v>6</v>
      </c>
      <c r="F39" s="65">
        <f>IF(D39/VLOOKUP(E39,$B$4:$E$25,3,0)=0,D39/VLOOKUP(E39,$B$4:$E$25,3,0),INT(D39/VLOOKUP(E39,$B$4:$E$25,3,0))+1)</f>
        <v>19</v>
      </c>
      <c r="G39" s="63">
        <f>VLOOKUP(E39,$B$4:$E$25,2,0)</f>
        <v>8</v>
      </c>
      <c r="H39" s="63">
        <f>VLOOKUP(E39,$B$4:$E$25,4,0)</f>
        <v>1530</v>
      </c>
      <c r="I39" s="88">
        <f t="shared" si="0"/>
        <v>11.479161600000001</v>
      </c>
      <c r="J39" s="189"/>
      <c r="K39" s="189"/>
      <c r="L39" s="189"/>
      <c r="M39" s="189"/>
      <c r="N39" s="189"/>
    </row>
    <row r="40" spans="2:14" x14ac:dyDescent="0.15">
      <c r="B40" s="189"/>
      <c r="C40" s="189"/>
      <c r="D40" s="189"/>
      <c r="E40" s="63">
        <v>2</v>
      </c>
      <c r="F40" s="65">
        <f>IF(D39/VLOOKUP(E40,$B$4:$E$25,3,0)=0,D39/VLOOKUP(E40,$B$4:$E$25,3,0),INT(D39/VLOOKUP(E40,$B$4:$E$25,3,0))+1)</f>
        <v>25</v>
      </c>
      <c r="G40" s="63">
        <f t="shared" ref="G40:G41" si="8">VLOOKUP(E40,$B$4:$E$25,2,0)</f>
        <v>8</v>
      </c>
      <c r="H40" s="63">
        <f t="shared" ref="H40:H41" si="9">VLOOKUP(E40,$B$4:$E$25,4,0)</f>
        <v>7049</v>
      </c>
      <c r="I40" s="88">
        <f t="shared" si="0"/>
        <v>69.587728000000013</v>
      </c>
      <c r="J40" s="189"/>
      <c r="K40" s="189"/>
      <c r="L40" s="189"/>
      <c r="M40" s="189"/>
      <c r="N40" s="189"/>
    </row>
    <row r="41" spans="2:14" x14ac:dyDescent="0.15">
      <c r="B41" s="189"/>
      <c r="C41" s="189"/>
      <c r="D41" s="189"/>
      <c r="E41" s="63">
        <v>1</v>
      </c>
      <c r="F41" s="65">
        <f>IF(D39/VLOOKUP(E41,$B$4:$E$25,3,0)=0,D39/VLOOKUP(E41,$B$4:$E$25,3,0),INT(D39/VLOOKUP(E41,$B$4:$E$25,3,0))+1)</f>
        <v>19</v>
      </c>
      <c r="G41" s="63">
        <f t="shared" si="8"/>
        <v>10</v>
      </c>
      <c r="H41" s="63">
        <f t="shared" si="9"/>
        <v>4054</v>
      </c>
      <c r="I41" s="88">
        <f t="shared" si="0"/>
        <v>47.525041999999992</v>
      </c>
      <c r="J41" s="189"/>
      <c r="K41" s="189"/>
      <c r="L41" s="189"/>
      <c r="M41" s="189"/>
      <c r="N41" s="189"/>
    </row>
    <row r="42" spans="2:14" x14ac:dyDescent="0.15">
      <c r="B42" s="202">
        <v>3</v>
      </c>
      <c r="C42" s="202">
        <v>1</v>
      </c>
      <c r="D42" s="202">
        <v>6600</v>
      </c>
      <c r="E42" s="65">
        <v>6</v>
      </c>
      <c r="F42" s="65">
        <f>IF(D42/VLOOKUP(E42,$B$4:$E$25,3,0)=0,D42/VLOOKUP(E42,$B$4:$E$25,3,0),INT(D42/VLOOKUP(E42,$B$4:$E$25,3,0))+1)</f>
        <v>34</v>
      </c>
      <c r="G42" s="65">
        <f>VLOOKUP(E42,$B$4:$E$25,2,0)</f>
        <v>8</v>
      </c>
      <c r="H42" s="65">
        <f>VLOOKUP(E42,$B$4:$E$25,4,0)</f>
        <v>1530</v>
      </c>
      <c r="I42" s="89">
        <f t="shared" si="0"/>
        <v>20.541657600000004</v>
      </c>
      <c r="J42" s="189">
        <f t="shared" ref="J42" si="10">SUM(I42:I47)</f>
        <v>359.72654840000001</v>
      </c>
      <c r="K42" s="202">
        <f>PRODUCT(D42:D47)/10^6</f>
        <v>23.76</v>
      </c>
      <c r="L42" s="189">
        <f t="shared" ref="L42" si="11">K42*$L$28</f>
        <v>2.8512</v>
      </c>
      <c r="M42" s="189"/>
      <c r="N42" s="189">
        <v>1</v>
      </c>
    </row>
    <row r="43" spans="2:14" x14ac:dyDescent="0.15">
      <c r="B43" s="189"/>
      <c r="C43" s="189"/>
      <c r="D43" s="189"/>
      <c r="E43" s="63">
        <v>8</v>
      </c>
      <c r="F43" s="65">
        <f>IF(D42/VLOOKUP(E43,$B$4:$E$25,3,0)=0,D42/VLOOKUP(E43,$B$4:$E$25,3,0),INT(D42/VLOOKUP(E43,$B$4:$E$25,3,0))+1)</f>
        <v>34</v>
      </c>
      <c r="G43" s="63">
        <f t="shared" ref="G43:G44" si="12">VLOOKUP(E43,$B$4:$E$25,2,0)</f>
        <v>10</v>
      </c>
      <c r="H43" s="63">
        <f t="shared" ref="H43:H44" si="13">VLOOKUP(E43,$B$4:$E$25,4,0)</f>
        <v>7049</v>
      </c>
      <c r="I43" s="88">
        <f t="shared" si="0"/>
        <v>147.87392200000002</v>
      </c>
      <c r="J43" s="189"/>
      <c r="K43" s="189"/>
      <c r="L43" s="189"/>
      <c r="M43" s="189"/>
      <c r="N43" s="189"/>
    </row>
    <row r="44" spans="2:14" x14ac:dyDescent="0.15">
      <c r="B44" s="189"/>
      <c r="C44" s="189"/>
      <c r="D44" s="189"/>
      <c r="E44" s="63">
        <v>6</v>
      </c>
      <c r="F44" s="65">
        <f>IF(D42/VLOOKUP(E44,$B$4:$E$25,3,0)=0,D42/VLOOKUP(E44,$B$4:$E$25,3,0),INT(D42/VLOOKUP(E44,$B$4:$E$25,3,0))+1)</f>
        <v>34</v>
      </c>
      <c r="G44" s="63">
        <f t="shared" si="12"/>
        <v>8</v>
      </c>
      <c r="H44" s="63">
        <f t="shared" si="13"/>
        <v>1530</v>
      </c>
      <c r="I44" s="88">
        <f t="shared" si="0"/>
        <v>20.541657600000004</v>
      </c>
      <c r="J44" s="189"/>
      <c r="K44" s="189"/>
      <c r="L44" s="189"/>
      <c r="M44" s="189"/>
      <c r="N44" s="189"/>
    </row>
    <row r="45" spans="2:14" x14ac:dyDescent="0.15">
      <c r="B45" s="189"/>
      <c r="C45" s="189"/>
      <c r="D45" s="189">
        <v>3600</v>
      </c>
      <c r="E45" s="63">
        <v>9</v>
      </c>
      <c r="F45" s="65">
        <f>IF(D45/VLOOKUP(E45,$B$4:$E$25,3,0)=0,D45/VLOOKUP(E45,$B$4:$E$25,3,0),INT(D45/VLOOKUP(E45,$B$4:$E$25,3,0))+1)</f>
        <v>19</v>
      </c>
      <c r="G45" s="63">
        <f>VLOOKUP(E45,$B$4:$E$25,2,0)</f>
        <v>10</v>
      </c>
      <c r="H45" s="63">
        <f>VLOOKUP(E45,$B$4:$E$25,4,0)</f>
        <v>1530</v>
      </c>
      <c r="I45" s="88">
        <f t="shared" si="0"/>
        <v>17.93619</v>
      </c>
      <c r="J45" s="189"/>
      <c r="K45" s="189"/>
      <c r="L45" s="189"/>
      <c r="M45" s="189"/>
      <c r="N45" s="189"/>
    </row>
    <row r="46" spans="2:14" x14ac:dyDescent="0.15">
      <c r="B46" s="189"/>
      <c r="C46" s="189"/>
      <c r="D46" s="189"/>
      <c r="E46" s="63">
        <v>7</v>
      </c>
      <c r="F46" s="65">
        <f>IF(D45/VLOOKUP(E46,$B$4:$E$25,3,0)=0,D45/VLOOKUP(E46,$B$4:$E$25,3,0),INT(D45/VLOOKUP(E46,$B$4:$E$25,3,0))+1)</f>
        <v>25</v>
      </c>
      <c r="G46" s="63">
        <f t="shared" ref="G46:G47" si="14">VLOOKUP(E46,$B$4:$E$25,2,0)</f>
        <v>12</v>
      </c>
      <c r="H46" s="63">
        <f t="shared" ref="H46:H47" si="15">VLOOKUP(E46,$B$4:$E$25,4,0)</f>
        <v>4000</v>
      </c>
      <c r="I46" s="88">
        <f t="shared" si="0"/>
        <v>88.847999999999999</v>
      </c>
      <c r="J46" s="189"/>
      <c r="K46" s="189"/>
      <c r="L46" s="189"/>
      <c r="M46" s="189"/>
      <c r="N46" s="189"/>
    </row>
    <row r="47" spans="2:14" x14ac:dyDescent="0.15">
      <c r="B47" s="189"/>
      <c r="C47" s="189"/>
      <c r="D47" s="189"/>
      <c r="E47" s="63">
        <v>11</v>
      </c>
      <c r="F47" s="65">
        <f>IF(D45/VLOOKUP(E47,$B$4:$E$25,3,0)=0,D45/VLOOKUP(E47,$B$4:$E$25,3,0),INT(D45/VLOOKUP(E47,$B$4:$E$25,3,0))+1)</f>
        <v>37</v>
      </c>
      <c r="G47" s="63">
        <f t="shared" si="14"/>
        <v>14</v>
      </c>
      <c r="H47" s="63">
        <f t="shared" si="15"/>
        <v>1430</v>
      </c>
      <c r="I47" s="88">
        <f t="shared" si="0"/>
        <v>63.985121199999995</v>
      </c>
      <c r="J47" s="189"/>
      <c r="K47" s="189"/>
      <c r="L47" s="189"/>
      <c r="M47" s="189"/>
      <c r="N47" s="189"/>
    </row>
    <row r="48" spans="2:14" x14ac:dyDescent="0.15">
      <c r="B48" s="202">
        <v>4</v>
      </c>
      <c r="C48" s="202">
        <v>1</v>
      </c>
      <c r="D48" s="202">
        <v>6600</v>
      </c>
      <c r="E48" s="65">
        <v>11</v>
      </c>
      <c r="F48" s="65">
        <f>IF(D48/VLOOKUP(E48,$B$4:$E$25,3,0)=0,D48/VLOOKUP(E48,$B$4:$E$25,3,0),INT(D48/VLOOKUP(E48,$B$4:$E$25,3,0))+1)</f>
        <v>67</v>
      </c>
      <c r="G48" s="65">
        <f>VLOOKUP(E48,$B$4:$E$25,2,0)</f>
        <v>14</v>
      </c>
      <c r="H48" s="65">
        <f>VLOOKUP(E48,$B$4:$E$25,4,0)</f>
        <v>1430</v>
      </c>
      <c r="I48" s="89">
        <f t="shared" si="0"/>
        <v>115.8649492</v>
      </c>
      <c r="J48" s="189">
        <f t="shared" ref="J48:J72" si="16">SUM(I48:I53)</f>
        <v>401.92675700000001</v>
      </c>
      <c r="K48" s="202">
        <f>PRODUCT(D48:D53)/10^6</f>
        <v>23.76</v>
      </c>
      <c r="L48" s="189">
        <f t="shared" ref="L48" si="17">K48*$L$28</f>
        <v>2.8512</v>
      </c>
      <c r="M48" s="189"/>
      <c r="N48" s="189">
        <v>1</v>
      </c>
    </row>
    <row r="49" spans="2:14" x14ac:dyDescent="0.15">
      <c r="B49" s="189"/>
      <c r="C49" s="189"/>
      <c r="D49" s="189"/>
      <c r="E49" s="63">
        <v>7</v>
      </c>
      <c r="F49" s="65">
        <f>IF(D48/VLOOKUP(E49,$B$4:$E$25,3,0)=0,D48/VLOOKUP(E49,$B$4:$E$25,3,0),INT(D48/VLOOKUP(E49,$B$4:$E$25,3,0))+1)</f>
        <v>45</v>
      </c>
      <c r="G49" s="63">
        <f t="shared" ref="G49:G50" si="18">VLOOKUP(E49,$B$4:$E$25,2,0)</f>
        <v>12</v>
      </c>
      <c r="H49" s="63">
        <f t="shared" ref="H49:H50" si="19">VLOOKUP(E49,$B$4:$E$25,4,0)</f>
        <v>4000</v>
      </c>
      <c r="I49" s="88">
        <f t="shared" si="0"/>
        <v>159.9264</v>
      </c>
      <c r="J49" s="189"/>
      <c r="K49" s="189"/>
      <c r="L49" s="189"/>
      <c r="M49" s="189"/>
      <c r="N49" s="189"/>
    </row>
    <row r="50" spans="2:14" x14ac:dyDescent="0.15">
      <c r="B50" s="189"/>
      <c r="C50" s="189"/>
      <c r="D50" s="189"/>
      <c r="E50" s="63">
        <v>6</v>
      </c>
      <c r="F50" s="65">
        <f>IF(D48/VLOOKUP(E50,$B$4:$E$25,3,0)=0,D48/VLOOKUP(E50,$B$4:$E$25,3,0),INT(D48/VLOOKUP(E50,$B$4:$E$25,3,0))+1)</f>
        <v>34</v>
      </c>
      <c r="G50" s="63">
        <f t="shared" si="18"/>
        <v>8</v>
      </c>
      <c r="H50" s="63">
        <f t="shared" si="19"/>
        <v>1530</v>
      </c>
      <c r="I50" s="88">
        <f t="shared" si="0"/>
        <v>20.541657600000004</v>
      </c>
      <c r="J50" s="189"/>
      <c r="K50" s="189"/>
      <c r="L50" s="189"/>
      <c r="M50" s="189"/>
      <c r="N50" s="189"/>
    </row>
    <row r="51" spans="2:14" x14ac:dyDescent="0.15">
      <c r="B51" s="189"/>
      <c r="C51" s="189"/>
      <c r="D51" s="189">
        <v>3600</v>
      </c>
      <c r="E51" s="63">
        <v>6</v>
      </c>
      <c r="F51" s="65">
        <f>IF(D51/VLOOKUP(E51,$B$4:$E$25,3,0)=0,D51/VLOOKUP(E51,$B$4:$E$25,3,0),INT(D51/VLOOKUP(E51,$B$4:$E$25,3,0))+1)</f>
        <v>19</v>
      </c>
      <c r="G51" s="63">
        <f>VLOOKUP(E51,$B$4:$E$25,2,0)</f>
        <v>8</v>
      </c>
      <c r="H51" s="63">
        <f>VLOOKUP(E51,$B$4:$E$25,4,0)</f>
        <v>1530</v>
      </c>
      <c r="I51" s="88">
        <f t="shared" si="0"/>
        <v>11.479161600000001</v>
      </c>
      <c r="J51" s="189"/>
      <c r="K51" s="189"/>
      <c r="L51" s="189"/>
      <c r="M51" s="189"/>
      <c r="N51" s="189"/>
    </row>
    <row r="52" spans="2:14" x14ac:dyDescent="0.15">
      <c r="B52" s="189"/>
      <c r="C52" s="189"/>
      <c r="D52" s="189"/>
      <c r="E52" s="63">
        <v>8</v>
      </c>
      <c r="F52" s="65">
        <f>IF(D51/VLOOKUP(E52,$B$4:$E$25,3,0)=0,D51/VLOOKUP(E52,$B$4:$E$25,3,0),INT(D51/VLOOKUP(E52,$B$4:$E$25,3,0))+1)</f>
        <v>19</v>
      </c>
      <c r="G52" s="63">
        <f t="shared" ref="G52:G53" si="20">VLOOKUP(E52,$B$4:$E$25,2,0)</f>
        <v>10</v>
      </c>
      <c r="H52" s="63">
        <f t="shared" ref="H52:H53" si="21">VLOOKUP(E52,$B$4:$E$25,4,0)</f>
        <v>7049</v>
      </c>
      <c r="I52" s="88">
        <f t="shared" si="0"/>
        <v>82.635426999999993</v>
      </c>
      <c r="J52" s="189"/>
      <c r="K52" s="189"/>
      <c r="L52" s="189"/>
      <c r="M52" s="189"/>
      <c r="N52" s="189"/>
    </row>
    <row r="53" spans="2:14" x14ac:dyDescent="0.15">
      <c r="B53" s="189"/>
      <c r="C53" s="189"/>
      <c r="D53" s="189"/>
      <c r="E53" s="63">
        <v>6</v>
      </c>
      <c r="F53" s="65">
        <f>IF(D51/VLOOKUP(E53,$B$4:$E$25,3,0)=0,D51/VLOOKUP(E53,$B$4:$E$25,3,0),INT(D51/VLOOKUP(E53,$B$4:$E$25,3,0))+1)</f>
        <v>19</v>
      </c>
      <c r="G53" s="63">
        <f t="shared" si="20"/>
        <v>8</v>
      </c>
      <c r="H53" s="63">
        <f t="shared" si="21"/>
        <v>1530</v>
      </c>
      <c r="I53" s="88">
        <f t="shared" si="0"/>
        <v>11.479161600000001</v>
      </c>
      <c r="J53" s="189"/>
      <c r="K53" s="189"/>
      <c r="L53" s="189"/>
      <c r="M53" s="189"/>
      <c r="N53" s="189"/>
    </row>
    <row r="54" spans="2:14" x14ac:dyDescent="0.15">
      <c r="B54" s="202">
        <v>5</v>
      </c>
      <c r="C54" s="202">
        <v>1</v>
      </c>
      <c r="D54" s="202">
        <v>6600</v>
      </c>
      <c r="E54" s="65">
        <v>19</v>
      </c>
      <c r="F54" s="65">
        <f>IF(D54/VLOOKUP(E54,$B$4:$E$25,3,0)=0,D54/VLOOKUP(E54,$B$4:$E$25,3,0),INT(D54/VLOOKUP(E54,$B$4:$E$25,3,0))+1)</f>
        <v>45</v>
      </c>
      <c r="G54" s="65">
        <f>VLOOKUP(E54,$B$4:$E$25,2,0)</f>
        <v>12</v>
      </c>
      <c r="H54" s="65">
        <f>VLOOKUP(E54,$B$4:$E$25,4,0)</f>
        <v>1430</v>
      </c>
      <c r="I54" s="89">
        <f t="shared" si="0"/>
        <v>57.173687999999999</v>
      </c>
      <c r="J54" s="189">
        <f t="shared" si="16"/>
        <v>291.75802584000007</v>
      </c>
      <c r="K54" s="202">
        <f>PRODUCT(D54:D59)/10^6</f>
        <v>23.76</v>
      </c>
      <c r="L54" s="189">
        <f t="shared" ref="L54" si="22">K54*$L$28</f>
        <v>2.8512</v>
      </c>
      <c r="M54" s="189"/>
      <c r="N54" s="189">
        <v>1</v>
      </c>
    </row>
    <row r="55" spans="2:14" x14ac:dyDescent="0.15">
      <c r="B55" s="189"/>
      <c r="C55" s="189"/>
      <c r="D55" s="189"/>
      <c r="E55" s="63">
        <v>22</v>
      </c>
      <c r="F55" s="65">
        <f>IF(D54/VLOOKUP(E55,$B$4:$E$25,3,0)=0,D54/VLOOKUP(E55,$B$4:$E$25,3,0),INT(D54/VLOOKUP(E55,$B$4:$E$25,3,0))+1)</f>
        <v>67</v>
      </c>
      <c r="G55" s="63">
        <f t="shared" ref="G55:G56" si="23">VLOOKUP(E55,$B$4:$E$25,2,0)</f>
        <v>8</v>
      </c>
      <c r="H55" s="63">
        <f t="shared" ref="H55:H56" si="24">VLOOKUP(E55,$B$4:$E$25,4,0)</f>
        <v>4059</v>
      </c>
      <c r="I55" s="88">
        <f t="shared" si="0"/>
        <v>107.38880064000003</v>
      </c>
      <c r="J55" s="189"/>
      <c r="K55" s="189"/>
      <c r="L55" s="189"/>
      <c r="M55" s="189"/>
      <c r="N55" s="189"/>
    </row>
    <row r="56" spans="2:14" x14ac:dyDescent="0.15">
      <c r="B56" s="189"/>
      <c r="C56" s="189"/>
      <c r="D56" s="189"/>
      <c r="E56" s="63">
        <v>6</v>
      </c>
      <c r="F56" s="65">
        <f>IF(D54/VLOOKUP(E56,$B$4:$E$25,3,0)=0,D54/VLOOKUP(E56,$B$4:$E$25,3,0),INT(D54/VLOOKUP(E56,$B$4:$E$25,3,0))+1)</f>
        <v>34</v>
      </c>
      <c r="G56" s="63">
        <f t="shared" si="23"/>
        <v>8</v>
      </c>
      <c r="H56" s="63">
        <f t="shared" si="24"/>
        <v>1530</v>
      </c>
      <c r="I56" s="88">
        <f t="shared" si="0"/>
        <v>20.541657600000004</v>
      </c>
      <c r="J56" s="189"/>
      <c r="K56" s="189"/>
      <c r="L56" s="189"/>
      <c r="M56" s="189"/>
      <c r="N56" s="189"/>
    </row>
    <row r="57" spans="2:14" x14ac:dyDescent="0.15">
      <c r="B57" s="189"/>
      <c r="C57" s="189"/>
      <c r="D57" s="189">
        <v>3600</v>
      </c>
      <c r="E57" s="63">
        <v>15</v>
      </c>
      <c r="F57" s="65">
        <f>IF(D57/VLOOKUP(E57,$B$4:$E$25,3,0)=0,D57/VLOOKUP(E57,$B$4:$E$25,3,0),INT(D57/VLOOKUP(E57,$B$4:$E$25,3,0))+1)</f>
        <v>29</v>
      </c>
      <c r="G57" s="63">
        <f>VLOOKUP(E57,$B$4:$E$25,2,0)</f>
        <v>10</v>
      </c>
      <c r="H57" s="63">
        <f>VLOOKUP(E57,$B$4:$E$25,4,0)</f>
        <v>1430</v>
      </c>
      <c r="I57" s="88">
        <f t="shared" si="0"/>
        <v>25.58699</v>
      </c>
      <c r="J57" s="189"/>
      <c r="K57" s="189"/>
      <c r="L57" s="189"/>
      <c r="M57" s="189"/>
      <c r="N57" s="189"/>
    </row>
    <row r="58" spans="2:14" x14ac:dyDescent="0.15">
      <c r="B58" s="189"/>
      <c r="C58" s="189"/>
      <c r="D58" s="189"/>
      <c r="E58" s="63">
        <v>2</v>
      </c>
      <c r="F58" s="65">
        <f>IF(D57/VLOOKUP(E58,$B$4:$E$25,3,0)=0,D57/VLOOKUP(E58,$B$4:$E$25,3,0),INT(D57/VLOOKUP(E58,$B$4:$E$25,3,0))+1)</f>
        <v>25</v>
      </c>
      <c r="G58" s="63">
        <f t="shared" ref="G58:G59" si="25">VLOOKUP(E58,$B$4:$E$25,2,0)</f>
        <v>8</v>
      </c>
      <c r="H58" s="63">
        <f t="shared" ref="H58:H59" si="26">VLOOKUP(E58,$B$4:$E$25,4,0)</f>
        <v>7049</v>
      </c>
      <c r="I58" s="88">
        <f t="shared" si="0"/>
        <v>69.587728000000013</v>
      </c>
      <c r="J58" s="189"/>
      <c r="K58" s="189"/>
      <c r="L58" s="189"/>
      <c r="M58" s="189"/>
      <c r="N58" s="189"/>
    </row>
    <row r="59" spans="2:14" x14ac:dyDescent="0.15">
      <c r="B59" s="189"/>
      <c r="C59" s="189"/>
      <c r="D59" s="189"/>
      <c r="E59" s="63">
        <v>6</v>
      </c>
      <c r="F59" s="65">
        <f>IF(D57/VLOOKUP(E59,$B$4:$E$25,3,0)=0,D57/VLOOKUP(E59,$B$4:$E$25,3,0),INT(D57/VLOOKUP(E59,$B$4:$E$25,3,0))+1)</f>
        <v>19</v>
      </c>
      <c r="G59" s="63">
        <f t="shared" si="25"/>
        <v>8</v>
      </c>
      <c r="H59" s="63">
        <f t="shared" si="26"/>
        <v>1530</v>
      </c>
      <c r="I59" s="88">
        <f t="shared" si="0"/>
        <v>11.479161600000001</v>
      </c>
      <c r="J59" s="189"/>
      <c r="K59" s="189"/>
      <c r="L59" s="189"/>
      <c r="M59" s="189"/>
      <c r="N59" s="189"/>
    </row>
    <row r="60" spans="2:14" x14ac:dyDescent="0.15">
      <c r="B60" s="202">
        <v>6</v>
      </c>
      <c r="C60" s="202">
        <v>1</v>
      </c>
      <c r="D60" s="202">
        <v>6600</v>
      </c>
      <c r="E60" s="65">
        <v>5</v>
      </c>
      <c r="F60" s="65">
        <f>IF(D60/VLOOKUP(E60,$B$4:$E$25,3,0)=0,D60/VLOOKUP(E60,$B$4:$E$25,3,0),INT(D60/VLOOKUP(E60,$B$4:$E$25,3,0))+1)</f>
        <v>34</v>
      </c>
      <c r="G60" s="65">
        <f>VLOOKUP(E60,$B$4:$E$25,2,0)</f>
        <v>12</v>
      </c>
      <c r="H60" s="65">
        <f>VLOOKUP(E60,$B$4:$E$25,4,0)</f>
        <v>1430</v>
      </c>
      <c r="I60" s="89">
        <f t="shared" si="0"/>
        <v>43.197897600000005</v>
      </c>
      <c r="J60" s="189">
        <f>SUM(I60:I65)</f>
        <v>292.07027720000002</v>
      </c>
      <c r="K60" s="202">
        <f>PRODUCT(D60:D65)/10^6</f>
        <v>23.76</v>
      </c>
      <c r="L60" s="189">
        <f t="shared" ref="L60" si="27">K60*$L$28</f>
        <v>2.8512</v>
      </c>
      <c r="M60" s="189"/>
      <c r="N60" s="189">
        <v>1</v>
      </c>
    </row>
    <row r="61" spans="2:14" x14ac:dyDescent="0.15">
      <c r="B61" s="189"/>
      <c r="C61" s="189"/>
      <c r="D61" s="189"/>
      <c r="E61" s="63">
        <v>1</v>
      </c>
      <c r="F61" s="65">
        <f>IF(D60/VLOOKUP(E61,$B$4:$E$25,3,0)=0,D60/VLOOKUP(E61,$B$4:$E$25,3,0),INT(D60/VLOOKUP(E61,$B$4:$E$25,3,0))+1)</f>
        <v>34</v>
      </c>
      <c r="G61" s="63">
        <f t="shared" ref="G61:G62" si="28">VLOOKUP(E61,$B$4:$E$25,2,0)</f>
        <v>10</v>
      </c>
      <c r="H61" s="63">
        <f t="shared" ref="H61:H62" si="29">VLOOKUP(E61,$B$4:$E$25,4,0)</f>
        <v>4054</v>
      </c>
      <c r="I61" s="88">
        <f t="shared" si="0"/>
        <v>85.044812000000007</v>
      </c>
      <c r="J61" s="189"/>
      <c r="K61" s="189"/>
      <c r="L61" s="189"/>
      <c r="M61" s="189"/>
      <c r="N61" s="189"/>
    </row>
    <row r="62" spans="2:14" x14ac:dyDescent="0.15">
      <c r="B62" s="189"/>
      <c r="C62" s="189"/>
      <c r="D62" s="189"/>
      <c r="E62" s="63">
        <v>19</v>
      </c>
      <c r="F62" s="65">
        <f>IF(D60/VLOOKUP(E62,$B$4:$E$25,3,0)=0,D60/VLOOKUP(E62,$B$4:$E$25,3,0),INT(D60/VLOOKUP(E62,$B$4:$E$25,3,0))+1)</f>
        <v>45</v>
      </c>
      <c r="G62" s="63">
        <f t="shared" si="28"/>
        <v>12</v>
      </c>
      <c r="H62" s="63">
        <f t="shared" si="29"/>
        <v>1430</v>
      </c>
      <c r="I62" s="88">
        <f t="shared" ref="I62:I93" si="30">F62*(G62/10)^2*0.617*H62/1000</f>
        <v>57.173687999999999</v>
      </c>
      <c r="J62" s="189"/>
      <c r="K62" s="189"/>
      <c r="L62" s="189"/>
      <c r="M62" s="189"/>
      <c r="N62" s="189"/>
    </row>
    <row r="63" spans="2:14" x14ac:dyDescent="0.15">
      <c r="B63" s="189"/>
      <c r="C63" s="189"/>
      <c r="D63" s="189">
        <v>3600</v>
      </c>
      <c r="E63" s="63">
        <v>15</v>
      </c>
      <c r="F63" s="65">
        <f>IF(D63/VLOOKUP(E63,$B$4:$E$25,3,0)=0,D63/VLOOKUP(E63,$B$4:$E$25,3,0),INT(D63/VLOOKUP(E63,$B$4:$E$25,3,0))+1)</f>
        <v>29</v>
      </c>
      <c r="G63" s="63">
        <f>VLOOKUP(E63,$B$4:$E$25,2,0)</f>
        <v>10</v>
      </c>
      <c r="H63" s="63">
        <f>VLOOKUP(E63,$B$4:$E$25,4,0)</f>
        <v>1430</v>
      </c>
      <c r="I63" s="88">
        <f t="shared" si="30"/>
        <v>25.58699</v>
      </c>
      <c r="J63" s="189"/>
      <c r="K63" s="189"/>
      <c r="L63" s="189"/>
      <c r="M63" s="189"/>
      <c r="N63" s="189"/>
    </row>
    <row r="64" spans="2:14" x14ac:dyDescent="0.15">
      <c r="B64" s="189"/>
      <c r="C64" s="189"/>
      <c r="D64" s="189"/>
      <c r="E64" s="63">
        <v>2</v>
      </c>
      <c r="F64" s="65">
        <f>IF(D63/VLOOKUP(E64,$B$4:$E$25,3,0)=0,D63/VLOOKUP(E64,$B$4:$E$25,3,0),INT(D63/VLOOKUP(E64,$B$4:$E$25,3,0))+1)</f>
        <v>25</v>
      </c>
      <c r="G64" s="63">
        <f t="shared" ref="G64:G65" si="31">VLOOKUP(E64,$B$4:$E$25,2,0)</f>
        <v>8</v>
      </c>
      <c r="H64" s="63">
        <f t="shared" ref="H64:H65" si="32">VLOOKUP(E64,$B$4:$E$25,4,0)</f>
        <v>7049</v>
      </c>
      <c r="I64" s="88">
        <f t="shared" si="30"/>
        <v>69.587728000000013</v>
      </c>
      <c r="J64" s="189"/>
      <c r="K64" s="189"/>
      <c r="L64" s="189"/>
      <c r="M64" s="189"/>
      <c r="N64" s="189"/>
    </row>
    <row r="65" spans="2:14" x14ac:dyDescent="0.15">
      <c r="B65" s="189"/>
      <c r="C65" s="189"/>
      <c r="D65" s="189"/>
      <c r="E65" s="63">
        <v>6</v>
      </c>
      <c r="F65" s="65">
        <f>IF(D63/VLOOKUP(E65,$B$4:$E$25,3,0)=0,D63/VLOOKUP(E65,$B$4:$E$25,3,0),INT(D63/VLOOKUP(E65,$B$4:$E$25,3,0))+1)</f>
        <v>19</v>
      </c>
      <c r="G65" s="63">
        <f t="shared" si="31"/>
        <v>8</v>
      </c>
      <c r="H65" s="63">
        <f t="shared" si="32"/>
        <v>1530</v>
      </c>
      <c r="I65" s="88">
        <f t="shared" si="30"/>
        <v>11.479161600000001</v>
      </c>
      <c r="J65" s="189"/>
      <c r="K65" s="189"/>
      <c r="L65" s="189"/>
      <c r="M65" s="189"/>
      <c r="N65" s="189"/>
    </row>
    <row r="66" spans="2:14" x14ac:dyDescent="0.15">
      <c r="B66" s="202">
        <v>7</v>
      </c>
      <c r="C66" s="202">
        <v>1</v>
      </c>
      <c r="D66" s="202">
        <v>6600</v>
      </c>
      <c r="E66" s="65">
        <v>19</v>
      </c>
      <c r="F66" s="65">
        <f>IF(D66/VLOOKUP(E66,$B$4:$E$25,3,0)=0,D66/VLOOKUP(E66,$B$4:$E$25,3,0),INT(D66/VLOOKUP(E66,$B$4:$E$25,3,0))+1)</f>
        <v>45</v>
      </c>
      <c r="G66" s="65">
        <f>VLOOKUP(E66,$B$4:$E$25,2,0)</f>
        <v>12</v>
      </c>
      <c r="H66" s="65">
        <f>VLOOKUP(E66,$B$4:$E$25,4,0)</f>
        <v>1430</v>
      </c>
      <c r="I66" s="89">
        <f t="shared" si="30"/>
        <v>57.173687999999999</v>
      </c>
      <c r="J66" s="189">
        <f t="shared" si="16"/>
        <v>287.37638800000002</v>
      </c>
      <c r="K66" s="202">
        <f>PRODUCT(D66:D71)/10^6</f>
        <v>23.76</v>
      </c>
      <c r="L66" s="189">
        <f t="shared" ref="L66" si="33">K66*$L$28</f>
        <v>2.8512</v>
      </c>
      <c r="M66" s="189">
        <v>1</v>
      </c>
      <c r="N66" s="189"/>
    </row>
    <row r="67" spans="2:14" x14ac:dyDescent="0.15">
      <c r="B67" s="189"/>
      <c r="C67" s="189"/>
      <c r="D67" s="189"/>
      <c r="E67" s="63">
        <v>1</v>
      </c>
      <c r="F67" s="65">
        <f>IF(D66/VLOOKUP(E67,$B$4:$E$25,3,0)=0,D66/VLOOKUP(E67,$B$4:$E$25,3,0),INT(D66/VLOOKUP(E67,$B$4:$E$25,3,0))+1)</f>
        <v>34</v>
      </c>
      <c r="G67" s="63">
        <f t="shared" ref="G67:G68" si="34">VLOOKUP(E67,$B$4:$E$25,2,0)</f>
        <v>10</v>
      </c>
      <c r="H67" s="63">
        <f t="shared" ref="H67:H68" si="35">VLOOKUP(E67,$B$4:$E$25,4,0)</f>
        <v>4054</v>
      </c>
      <c r="I67" s="88">
        <f t="shared" si="30"/>
        <v>85.044812000000007</v>
      </c>
      <c r="J67" s="189"/>
      <c r="K67" s="189"/>
      <c r="L67" s="189"/>
      <c r="M67" s="189"/>
      <c r="N67" s="189"/>
    </row>
    <row r="68" spans="2:14" x14ac:dyDescent="0.15">
      <c r="B68" s="189"/>
      <c r="C68" s="189"/>
      <c r="D68" s="189"/>
      <c r="E68" s="63">
        <v>5</v>
      </c>
      <c r="F68" s="65">
        <f>IF(D66/VLOOKUP(E68,$B$4:$E$25,3,0)=0,D66/VLOOKUP(E68,$B$4:$E$25,3,0),INT(D66/VLOOKUP(E68,$B$4:$E$25,3,0))+1)</f>
        <v>34</v>
      </c>
      <c r="G68" s="63">
        <f t="shared" si="34"/>
        <v>12</v>
      </c>
      <c r="H68" s="63">
        <f t="shared" si="35"/>
        <v>1430</v>
      </c>
      <c r="I68" s="88">
        <f t="shared" si="30"/>
        <v>43.197897600000005</v>
      </c>
      <c r="J68" s="189"/>
      <c r="K68" s="189"/>
      <c r="L68" s="189"/>
      <c r="M68" s="189"/>
      <c r="N68" s="189"/>
    </row>
    <row r="69" spans="2:14" x14ac:dyDescent="0.15">
      <c r="B69" s="189"/>
      <c r="C69" s="189"/>
      <c r="D69" s="189">
        <v>3600</v>
      </c>
      <c r="E69" s="63">
        <v>4</v>
      </c>
      <c r="F69" s="65">
        <f>IF(D69/VLOOKUP(E69,$B$4:$E$25,3,0)=0,D69/VLOOKUP(E69,$B$4:$E$25,3,0),INT(D69/VLOOKUP(E69,$B$4:$E$25,3,0))+1)</f>
        <v>37</v>
      </c>
      <c r="G69" s="63">
        <f>VLOOKUP(E69,$B$4:$E$25,2,0)</f>
        <v>8</v>
      </c>
      <c r="H69" s="63">
        <f>VLOOKUP(E69,$B$4:$E$25,4,0)</f>
        <v>1430</v>
      </c>
      <c r="I69" s="88">
        <f t="shared" si="30"/>
        <v>20.893100799999999</v>
      </c>
      <c r="J69" s="189"/>
      <c r="K69" s="189"/>
      <c r="L69" s="189"/>
      <c r="M69" s="189"/>
      <c r="N69" s="189"/>
    </row>
    <row r="70" spans="2:14" x14ac:dyDescent="0.15">
      <c r="B70" s="189"/>
      <c r="C70" s="189"/>
      <c r="D70" s="189"/>
      <c r="E70" s="63">
        <v>2</v>
      </c>
      <c r="F70" s="65">
        <f>IF(D69/VLOOKUP(E70,$B$4:$E$25,3,0)=0,D69/VLOOKUP(E70,$B$4:$E$25,3,0),INT(D69/VLOOKUP(E70,$B$4:$E$25,3,0))+1)</f>
        <v>25</v>
      </c>
      <c r="G70" s="63">
        <f t="shared" ref="G70:G71" si="36">VLOOKUP(E70,$B$4:$E$25,2,0)</f>
        <v>8</v>
      </c>
      <c r="H70" s="63">
        <f t="shared" ref="H70:H71" si="37">VLOOKUP(E70,$B$4:$E$25,4,0)</f>
        <v>7049</v>
      </c>
      <c r="I70" s="88">
        <f t="shared" si="30"/>
        <v>69.587728000000013</v>
      </c>
      <c r="J70" s="189"/>
      <c r="K70" s="189"/>
      <c r="L70" s="189"/>
      <c r="M70" s="189"/>
      <c r="N70" s="189"/>
    </row>
    <row r="71" spans="2:14" x14ac:dyDescent="0.15">
      <c r="B71" s="189"/>
      <c r="C71" s="189"/>
      <c r="D71" s="189"/>
      <c r="E71" s="63">
        <v>6</v>
      </c>
      <c r="F71" s="65">
        <f>IF(D69/VLOOKUP(E71,$B$4:$E$25,3,0)=0,D69/VLOOKUP(E71,$B$4:$E$25,3,0),INT(D69/VLOOKUP(E71,$B$4:$E$25,3,0))+1)</f>
        <v>19</v>
      </c>
      <c r="G71" s="63">
        <f t="shared" si="36"/>
        <v>8</v>
      </c>
      <c r="H71" s="63">
        <f t="shared" si="37"/>
        <v>1530</v>
      </c>
      <c r="I71" s="88">
        <f t="shared" si="30"/>
        <v>11.479161600000001</v>
      </c>
      <c r="J71" s="189"/>
      <c r="K71" s="189"/>
      <c r="L71" s="189"/>
      <c r="M71" s="189"/>
      <c r="N71" s="189"/>
    </row>
    <row r="72" spans="2:14" x14ac:dyDescent="0.15">
      <c r="B72" s="202">
        <v>8</v>
      </c>
      <c r="C72" s="202">
        <v>1</v>
      </c>
      <c r="D72" s="202">
        <v>6600</v>
      </c>
      <c r="E72" s="65">
        <v>6</v>
      </c>
      <c r="F72" s="65">
        <f>IF(D72/VLOOKUP(E72,$B$4:$E$25,3,0)=0,D72/VLOOKUP(E72,$B$4:$E$25,3,0),INT(D72/VLOOKUP(E72,$B$4:$E$25,3,0))+1)</f>
        <v>34</v>
      </c>
      <c r="G72" s="65">
        <f>VLOOKUP(E72,$B$4:$E$25,2,0)</f>
        <v>8</v>
      </c>
      <c r="H72" s="65">
        <f>VLOOKUP(E72,$B$4:$E$25,4,0)</f>
        <v>1530</v>
      </c>
      <c r="I72" s="89">
        <f t="shared" si="30"/>
        <v>20.541657600000004</v>
      </c>
      <c r="J72" s="189">
        <f t="shared" si="16"/>
        <v>291.49345624000006</v>
      </c>
      <c r="K72" s="202">
        <f>PRODUCT(D72:D77)/10^6</f>
        <v>23.76</v>
      </c>
      <c r="L72" s="189">
        <f t="shared" ref="L72" si="38">K72*$L$28</f>
        <v>2.8512</v>
      </c>
      <c r="M72" s="189">
        <v>1</v>
      </c>
      <c r="N72" s="189"/>
    </row>
    <row r="73" spans="2:14" x14ac:dyDescent="0.15">
      <c r="B73" s="189"/>
      <c r="C73" s="189"/>
      <c r="D73" s="189"/>
      <c r="E73" s="63">
        <v>20</v>
      </c>
      <c r="F73" s="65">
        <f>IF(D72/VLOOKUP(E73,$B$4:$E$25,3,0)=0,D72/VLOOKUP(E73,$B$4:$E$25,3,0),INT(D72/VLOOKUP(E73,$B$4:$E$25,3,0))+1)</f>
        <v>67</v>
      </c>
      <c r="G73" s="63">
        <f t="shared" ref="G73:G74" si="39">VLOOKUP(E73,$B$4:$E$25,2,0)</f>
        <v>8</v>
      </c>
      <c r="H73" s="63">
        <f t="shared" ref="H73:H74" si="40">VLOOKUP(E73,$B$4:$E$25,4,0)</f>
        <v>4049</v>
      </c>
      <c r="I73" s="88">
        <f t="shared" si="30"/>
        <v>107.12423104000003</v>
      </c>
      <c r="J73" s="189"/>
      <c r="K73" s="189"/>
      <c r="L73" s="189"/>
      <c r="M73" s="189"/>
      <c r="N73" s="189"/>
    </row>
    <row r="74" spans="2:14" x14ac:dyDescent="0.15">
      <c r="B74" s="189"/>
      <c r="C74" s="189"/>
      <c r="D74" s="189"/>
      <c r="E74" s="63">
        <v>19</v>
      </c>
      <c r="F74" s="65">
        <f>IF(D72/VLOOKUP(E74,$B$4:$E$25,3,0)=0,D72/VLOOKUP(E74,$B$4:$E$25,3,0),INT(D72/VLOOKUP(E74,$B$4:$E$25,3,0))+1)</f>
        <v>45</v>
      </c>
      <c r="G74" s="63">
        <f t="shared" si="39"/>
        <v>12</v>
      </c>
      <c r="H74" s="63">
        <f t="shared" si="40"/>
        <v>1430</v>
      </c>
      <c r="I74" s="88">
        <f t="shared" si="30"/>
        <v>57.173687999999999</v>
      </c>
      <c r="J74" s="189"/>
      <c r="K74" s="189"/>
      <c r="L74" s="189"/>
      <c r="M74" s="189"/>
      <c r="N74" s="189"/>
    </row>
    <row r="75" spans="2:14" x14ac:dyDescent="0.15">
      <c r="B75" s="189"/>
      <c r="C75" s="189"/>
      <c r="D75" s="189">
        <v>3600</v>
      </c>
      <c r="E75" s="63">
        <v>15</v>
      </c>
      <c r="F75" s="65">
        <f>IF(D75/VLOOKUP(E75,$B$4:$E$25,3,0)=0,D75/VLOOKUP(E75,$B$4:$E$25,3,0),INT(D75/VLOOKUP(E75,$B$4:$E$25,3,0))+1)</f>
        <v>29</v>
      </c>
      <c r="G75" s="63">
        <f>VLOOKUP(E75,$B$4:$E$25,2,0)</f>
        <v>10</v>
      </c>
      <c r="H75" s="63">
        <f>VLOOKUP(E75,$B$4:$E$25,4,0)</f>
        <v>1430</v>
      </c>
      <c r="I75" s="88">
        <f t="shared" si="30"/>
        <v>25.58699</v>
      </c>
      <c r="J75" s="189"/>
      <c r="K75" s="189"/>
      <c r="L75" s="189"/>
      <c r="M75" s="189"/>
      <c r="N75" s="189"/>
    </row>
    <row r="76" spans="2:14" x14ac:dyDescent="0.15">
      <c r="B76" s="189"/>
      <c r="C76" s="189"/>
      <c r="D76" s="189"/>
      <c r="E76" s="63">
        <v>2</v>
      </c>
      <c r="F76" s="65">
        <f>IF(D75/VLOOKUP(E76,$B$4:$E$25,3,0)=0,D75/VLOOKUP(E76,$B$4:$E$25,3,0),INT(D75/VLOOKUP(E76,$B$4:$E$25,3,0))+1)</f>
        <v>25</v>
      </c>
      <c r="G76" s="63">
        <f t="shared" ref="G76:G77" si="41">VLOOKUP(E76,$B$4:$E$25,2,0)</f>
        <v>8</v>
      </c>
      <c r="H76" s="63">
        <f t="shared" ref="H76:H77" si="42">VLOOKUP(E76,$B$4:$E$25,4,0)</f>
        <v>7049</v>
      </c>
      <c r="I76" s="88">
        <f t="shared" si="30"/>
        <v>69.587728000000013</v>
      </c>
      <c r="J76" s="189"/>
      <c r="K76" s="189"/>
      <c r="L76" s="189"/>
      <c r="M76" s="189"/>
      <c r="N76" s="189"/>
    </row>
    <row r="77" spans="2:14" x14ac:dyDescent="0.15">
      <c r="B77" s="189"/>
      <c r="C77" s="189"/>
      <c r="D77" s="189"/>
      <c r="E77" s="63">
        <v>6</v>
      </c>
      <c r="F77" s="65">
        <f>IF(D75/VLOOKUP(E77,$B$4:$E$25,3,0)=0,D75/VLOOKUP(E77,$B$4:$E$25,3,0),INT(D75/VLOOKUP(E77,$B$4:$E$25,3,0))+1)</f>
        <v>19</v>
      </c>
      <c r="G77" s="63">
        <f t="shared" si="41"/>
        <v>8</v>
      </c>
      <c r="H77" s="63">
        <f t="shared" si="42"/>
        <v>1530</v>
      </c>
      <c r="I77" s="88">
        <f t="shared" si="30"/>
        <v>11.479161600000001</v>
      </c>
      <c r="J77" s="189"/>
      <c r="K77" s="189"/>
      <c r="L77" s="189"/>
      <c r="M77" s="189"/>
      <c r="N77" s="189"/>
    </row>
    <row r="78" spans="2:14" x14ac:dyDescent="0.15">
      <c r="B78" s="189">
        <v>9</v>
      </c>
      <c r="C78" s="189">
        <v>1</v>
      </c>
      <c r="D78" s="189">
        <v>2700</v>
      </c>
      <c r="E78" s="65">
        <v>16</v>
      </c>
      <c r="F78" s="65">
        <f>IF(D78/VLOOKUP(E78,$B$4:$E$25,3,0)=0,D78/VLOOKUP(E78,$B$4:$E$25,3,0),INT(D78/VLOOKUP(E78,$B$4:$E$25,3,0))+1)</f>
        <v>14</v>
      </c>
      <c r="G78" s="65">
        <f>VLOOKUP(E78,$B$4:$E$25,2,0)</f>
        <v>8</v>
      </c>
      <c r="H78" s="65">
        <f>VLOOKUP(E78,$B$4:$E$25,4,0)</f>
        <v>1350</v>
      </c>
      <c r="I78" s="89">
        <f t="shared" si="30"/>
        <v>7.4632320000000005</v>
      </c>
      <c r="J78" s="203">
        <f>SUM(I78:I85)</f>
        <v>360.55031743999996</v>
      </c>
      <c r="K78" s="203">
        <f>PRODUCT(D78:D83)/10^6</f>
        <v>19.440000000000001</v>
      </c>
      <c r="L78" s="189">
        <f>K78*$L$28</f>
        <v>2.3328000000000002</v>
      </c>
      <c r="M78" s="189">
        <v>1</v>
      </c>
      <c r="N78" s="189"/>
    </row>
    <row r="79" spans="2:14" x14ac:dyDescent="0.15">
      <c r="B79" s="189"/>
      <c r="C79" s="189"/>
      <c r="D79" s="189"/>
      <c r="E79" s="63">
        <v>12</v>
      </c>
      <c r="F79" s="65">
        <f>IF(D78/VLOOKUP(E79,$B$4:$E$25,3,0)=0,D78/VLOOKUP(E79,$B$4:$E$25,3,0),INT(D78/VLOOKUP(E79,$B$4:$E$25,3,0))+1)</f>
        <v>19</v>
      </c>
      <c r="G79" s="63">
        <f t="shared" ref="G79:G80" si="43">VLOOKUP(E79,$B$4:$E$25,2,0)</f>
        <v>8</v>
      </c>
      <c r="H79" s="63">
        <f t="shared" ref="H79:H80" si="44">VLOOKUP(E79,$B$4:$E$25,4,0)</f>
        <v>7624</v>
      </c>
      <c r="I79" s="88">
        <f t="shared" si="30"/>
        <v>57.200737280000006</v>
      </c>
      <c r="J79" s="201"/>
      <c r="K79" s="201"/>
      <c r="L79" s="189"/>
      <c r="M79" s="189"/>
      <c r="N79" s="189"/>
    </row>
    <row r="80" spans="2:14" x14ac:dyDescent="0.15">
      <c r="B80" s="189"/>
      <c r="C80" s="189"/>
      <c r="D80" s="189"/>
      <c r="E80" s="63">
        <v>18</v>
      </c>
      <c r="F80" s="65">
        <f>IF(D78/VLOOKUP(E80,$B$4:$E$25,3,0)=0,D78/VLOOKUP(E80,$B$4:$E$25,3,0),INT(D78/VLOOKUP(E80,$B$4:$E$25,3,0))+1)</f>
        <v>19</v>
      </c>
      <c r="G80" s="63">
        <f t="shared" si="43"/>
        <v>8</v>
      </c>
      <c r="H80" s="63">
        <f t="shared" si="44"/>
        <v>1230</v>
      </c>
      <c r="I80" s="88">
        <f t="shared" si="30"/>
        <v>9.2283456000000008</v>
      </c>
      <c r="J80" s="201"/>
      <c r="K80" s="201"/>
      <c r="L80" s="189"/>
      <c r="M80" s="189"/>
      <c r="N80" s="189"/>
    </row>
    <row r="81" spans="2:14" x14ac:dyDescent="0.15">
      <c r="B81" s="189"/>
      <c r="C81" s="189"/>
      <c r="D81" s="189">
        <v>7200</v>
      </c>
      <c r="E81" s="63">
        <v>19</v>
      </c>
      <c r="F81" s="65">
        <f>IF(D81/VLOOKUP(E81,$B$4:$E$25,3,0)=0,D81/VLOOKUP(E81,$B$4:$E$25,3,0),INT(D81/VLOOKUP(E81,$B$4:$E$25,3,0))+1)</f>
        <v>49</v>
      </c>
      <c r="G81" s="63">
        <f>VLOOKUP(E81,$B$4:$E$25,2,0)</f>
        <v>12</v>
      </c>
      <c r="H81" s="63">
        <f>VLOOKUP(E81,$B$4:$E$25,4,0)</f>
        <v>1430</v>
      </c>
      <c r="I81" s="88">
        <f t="shared" si="30"/>
        <v>62.255793599999997</v>
      </c>
      <c r="J81" s="201"/>
      <c r="K81" s="201"/>
      <c r="L81" s="189"/>
      <c r="M81" s="189"/>
      <c r="N81" s="189"/>
    </row>
    <row r="82" spans="2:14" x14ac:dyDescent="0.15">
      <c r="B82" s="189"/>
      <c r="C82" s="189"/>
      <c r="D82" s="189"/>
      <c r="E82" s="63">
        <v>15</v>
      </c>
      <c r="F82" s="65">
        <f>IF(D81/VLOOKUP(E82,$B$4:$E$25,3,0)=0,D81/VLOOKUP(E82,$B$4:$E$25,3,0),INT(D81/VLOOKUP(E82,$B$4:$E$25,3,0))+1)</f>
        <v>58</v>
      </c>
      <c r="G82" s="63">
        <f t="shared" ref="G82:G83" si="45">VLOOKUP(E82,$B$4:$E$25,2,0)</f>
        <v>10</v>
      </c>
      <c r="H82" s="63">
        <f t="shared" ref="H82:H83" si="46">VLOOKUP(E82,$B$4:$E$25,4,0)</f>
        <v>1430</v>
      </c>
      <c r="I82" s="88">
        <f t="shared" si="30"/>
        <v>51.17398</v>
      </c>
      <c r="J82" s="201"/>
      <c r="K82" s="201"/>
      <c r="L82" s="189"/>
      <c r="M82" s="189"/>
      <c r="N82" s="189"/>
    </row>
    <row r="83" spans="2:14" x14ac:dyDescent="0.15">
      <c r="B83" s="189"/>
      <c r="C83" s="189"/>
      <c r="D83" s="189"/>
      <c r="E83" s="63">
        <v>13</v>
      </c>
      <c r="F83" s="65">
        <f>IF(D81/VLOOKUP(E83,$B$4:$E$25,3,0)=0,D81/VLOOKUP(E83,$B$4:$E$25,3,0),INT(D81/VLOOKUP(E83,$B$4:$E$25,3,0))+1)</f>
        <v>49</v>
      </c>
      <c r="G83" s="63">
        <f t="shared" si="45"/>
        <v>8</v>
      </c>
      <c r="H83" s="63">
        <f t="shared" si="46"/>
        <v>3154</v>
      </c>
      <c r="I83" s="88">
        <f t="shared" si="30"/>
        <v>61.027124480000005</v>
      </c>
      <c r="J83" s="201"/>
      <c r="K83" s="201"/>
      <c r="L83" s="189"/>
      <c r="M83" s="189"/>
      <c r="N83" s="189"/>
    </row>
    <row r="84" spans="2:14" x14ac:dyDescent="0.15">
      <c r="B84" s="189"/>
      <c r="C84" s="189"/>
      <c r="D84" s="189"/>
      <c r="E84" s="63">
        <v>15</v>
      </c>
      <c r="F84" s="65">
        <f>IF(D81/VLOOKUP(E84,$B$4:$E$25,3,0)=0,D81/VLOOKUP(E84,$B$4:$E$25,3,0),INT(D81/VLOOKUP(E84,$B$4:$E$25,3,0))+1)</f>
        <v>58</v>
      </c>
      <c r="G84" s="63">
        <f t="shared" ref="G84:G85" si="47">VLOOKUP(E84,$B$4:$E$25,2,0)</f>
        <v>10</v>
      </c>
      <c r="H84" s="63">
        <f t="shared" ref="H84:H85" si="48">VLOOKUP(E84,$B$4:$E$25,4,0)</f>
        <v>1430</v>
      </c>
      <c r="I84" s="88">
        <f t="shared" si="30"/>
        <v>51.17398</v>
      </c>
      <c r="J84" s="201"/>
      <c r="K84" s="201"/>
      <c r="L84" s="189"/>
      <c r="M84" s="189"/>
      <c r="N84" s="189"/>
    </row>
    <row r="85" spans="2:14" x14ac:dyDescent="0.15">
      <c r="B85" s="189"/>
      <c r="C85" s="189"/>
      <c r="D85" s="189"/>
      <c r="E85" s="63">
        <v>13</v>
      </c>
      <c r="F85" s="65">
        <f>IF(D81/VLOOKUP(E85,$B$4:$E$25,3,0)=0,D81/VLOOKUP(E85,$B$4:$E$25,3,0),INT(D81/VLOOKUP(E85,$B$4:$E$25,3,0))+1)</f>
        <v>49</v>
      </c>
      <c r="G85" s="63">
        <f t="shared" si="47"/>
        <v>8</v>
      </c>
      <c r="H85" s="63">
        <f t="shared" si="48"/>
        <v>3154</v>
      </c>
      <c r="I85" s="88">
        <f t="shared" si="30"/>
        <v>61.027124480000005</v>
      </c>
      <c r="J85" s="202"/>
      <c r="K85" s="202"/>
      <c r="L85" s="189"/>
      <c r="M85" s="189"/>
      <c r="N85" s="189"/>
    </row>
    <row r="86" spans="2:14" x14ac:dyDescent="0.15">
      <c r="B86" s="203">
        <v>10</v>
      </c>
      <c r="C86" s="203">
        <v>3</v>
      </c>
      <c r="D86" s="203">
        <v>2700</v>
      </c>
      <c r="E86" s="65">
        <v>18</v>
      </c>
      <c r="F86" s="65">
        <f>IF(D86/VLOOKUP(E86,$B$4:$E$25,3,0)=0,D86/VLOOKUP(E86,$B$4:$E$25,3,0),INT(D86/VLOOKUP(E86,$B$4:$E$25,3,0))+1)</f>
        <v>19</v>
      </c>
      <c r="G86" s="65">
        <f>VLOOKUP(E86,$B$4:$E$25,2,0)</f>
        <v>8</v>
      </c>
      <c r="H86" s="65">
        <f>VLOOKUP(E86,$B$4:$E$25,4,0)</f>
        <v>1230</v>
      </c>
      <c r="I86" s="89">
        <f t="shared" si="30"/>
        <v>9.2283456000000008</v>
      </c>
      <c r="J86" s="203">
        <f>SUM(I86:I93)</f>
        <v>301.79572736</v>
      </c>
      <c r="K86" s="203">
        <f>PRODUCT(D86:D91)/10^6</f>
        <v>19.440000000000001</v>
      </c>
      <c r="L86" s="189">
        <f>K86*$L$28</f>
        <v>2.3328000000000002</v>
      </c>
      <c r="M86" s="189">
        <v>2</v>
      </c>
      <c r="N86" s="189">
        <v>1</v>
      </c>
    </row>
    <row r="87" spans="2:14" x14ac:dyDescent="0.15">
      <c r="B87" s="201"/>
      <c r="C87" s="201"/>
      <c r="D87" s="201"/>
      <c r="E87" s="63">
        <v>17</v>
      </c>
      <c r="F87" s="65">
        <f>IF(D86/VLOOKUP(E87,$B$4:$E$25,3,0)=0,D86/VLOOKUP(E87,$B$4:$E$25,3,0),INT(D86/VLOOKUP(E87,$B$4:$E$25,3,0))+1)</f>
        <v>19</v>
      </c>
      <c r="G87" s="63">
        <f t="shared" ref="G87:G88" si="49">VLOOKUP(E87,$B$4:$E$25,2,0)</f>
        <v>8</v>
      </c>
      <c r="H87" s="63">
        <f t="shared" ref="H87:H88" si="50">VLOOKUP(E87,$B$4:$E$25,4,0)</f>
        <v>7654</v>
      </c>
      <c r="I87" s="88">
        <f t="shared" si="30"/>
        <v>57.425818880000008</v>
      </c>
      <c r="J87" s="201"/>
      <c r="K87" s="201"/>
      <c r="L87" s="189"/>
      <c r="M87" s="189"/>
      <c r="N87" s="189"/>
    </row>
    <row r="88" spans="2:14" x14ac:dyDescent="0.15">
      <c r="B88" s="201"/>
      <c r="C88" s="201"/>
      <c r="D88" s="202"/>
      <c r="E88" s="63">
        <v>18</v>
      </c>
      <c r="F88" s="65">
        <f>IF(D86/VLOOKUP(E88,$B$4:$E$25,3,0)=0,D86/VLOOKUP(E88,$B$4:$E$25,3,0),INT(D86/VLOOKUP(E88,$B$4:$E$25,3,0))+1)</f>
        <v>19</v>
      </c>
      <c r="G88" s="63">
        <f t="shared" si="49"/>
        <v>8</v>
      </c>
      <c r="H88" s="63">
        <f t="shared" si="50"/>
        <v>1230</v>
      </c>
      <c r="I88" s="88">
        <f t="shared" si="30"/>
        <v>9.2283456000000008</v>
      </c>
      <c r="J88" s="201"/>
      <c r="K88" s="201"/>
      <c r="L88" s="189"/>
      <c r="M88" s="189"/>
      <c r="N88" s="189"/>
    </row>
    <row r="89" spans="2:14" x14ac:dyDescent="0.15">
      <c r="B89" s="201"/>
      <c r="C89" s="201"/>
      <c r="D89" s="203">
        <v>7200</v>
      </c>
      <c r="E89" s="63">
        <v>4</v>
      </c>
      <c r="F89" s="65">
        <f>IF(D89/VLOOKUP(E89,$B$4:$E$25,3,0)=0,D89/VLOOKUP(E89,$B$4:$E$25,3,0),INT(D89/VLOOKUP(E89,$B$4:$E$25,3,0))+1)</f>
        <v>73</v>
      </c>
      <c r="G89" s="63">
        <f>VLOOKUP(E89,$B$4:$E$25,2,0)</f>
        <v>8</v>
      </c>
      <c r="H89" s="63">
        <f>VLOOKUP(E89,$B$4:$E$25,4,0)</f>
        <v>1430</v>
      </c>
      <c r="I89" s="88">
        <f t="shared" si="30"/>
        <v>41.2215232</v>
      </c>
      <c r="J89" s="201"/>
      <c r="K89" s="201"/>
      <c r="L89" s="189"/>
      <c r="M89" s="189"/>
      <c r="N89" s="189"/>
    </row>
    <row r="90" spans="2:14" x14ac:dyDescent="0.15">
      <c r="B90" s="201"/>
      <c r="C90" s="201"/>
      <c r="D90" s="201"/>
      <c r="E90" s="63">
        <v>4</v>
      </c>
      <c r="F90" s="65">
        <f>IF(D89/VLOOKUP(E90,$B$4:$E$25,3,0)=0,D89/VLOOKUP(E90,$B$4:$E$25,3,0),INT(D89/VLOOKUP(E90,$B$4:$E$25,3,0))+1)</f>
        <v>73</v>
      </c>
      <c r="G90" s="63">
        <f t="shared" ref="G90:G93" si="51">VLOOKUP(E90,$B$4:$E$25,2,0)</f>
        <v>8</v>
      </c>
      <c r="H90" s="63">
        <f t="shared" ref="H90:H93" si="52">VLOOKUP(E90,$B$4:$E$25,4,0)</f>
        <v>1430</v>
      </c>
      <c r="I90" s="88">
        <f t="shared" si="30"/>
        <v>41.2215232</v>
      </c>
      <c r="J90" s="201"/>
      <c r="K90" s="201"/>
      <c r="L90" s="189"/>
      <c r="M90" s="189"/>
      <c r="N90" s="189"/>
    </row>
    <row r="91" spans="2:14" x14ac:dyDescent="0.15">
      <c r="B91" s="201"/>
      <c r="C91" s="201"/>
      <c r="D91" s="201"/>
      <c r="E91" s="63">
        <v>13</v>
      </c>
      <c r="F91" s="65">
        <f>IF(D89/VLOOKUP(E91,$B$4:$E$25,3,0)=0,D89/VLOOKUP(E91,$B$4:$E$25,3,0),INT(D89/VLOOKUP(E91,$B$4:$E$25,3,0))+1)</f>
        <v>49</v>
      </c>
      <c r="G91" s="63">
        <f t="shared" si="51"/>
        <v>8</v>
      </c>
      <c r="H91" s="63">
        <f t="shared" si="52"/>
        <v>3154</v>
      </c>
      <c r="I91" s="88">
        <f t="shared" si="30"/>
        <v>61.027124480000005</v>
      </c>
      <c r="J91" s="201"/>
      <c r="K91" s="201"/>
      <c r="L91" s="189"/>
      <c r="M91" s="189"/>
      <c r="N91" s="189"/>
    </row>
    <row r="92" spans="2:14" x14ac:dyDescent="0.15">
      <c r="B92" s="201"/>
      <c r="C92" s="201"/>
      <c r="D92" s="201"/>
      <c r="E92" s="63">
        <v>4</v>
      </c>
      <c r="F92" s="65">
        <f>IF(D89/VLOOKUP(E92,$B$4:$E$25,3,0)=0,D89/VLOOKUP(E92,$B$4:$E$25,3,0),INT(D89/VLOOKUP(E92,$B$4:$E$25,3,0))+1)</f>
        <v>73</v>
      </c>
      <c r="G92" s="63">
        <f t="shared" si="51"/>
        <v>8</v>
      </c>
      <c r="H92" s="63">
        <f t="shared" si="52"/>
        <v>1430</v>
      </c>
      <c r="I92" s="88">
        <f t="shared" si="30"/>
        <v>41.2215232</v>
      </c>
      <c r="J92" s="201"/>
      <c r="K92" s="201"/>
      <c r="L92" s="189"/>
      <c r="M92" s="189"/>
      <c r="N92" s="189"/>
    </row>
    <row r="93" spans="2:14" x14ac:dyDescent="0.15">
      <c r="B93" s="202"/>
      <c r="C93" s="202"/>
      <c r="D93" s="202"/>
      <c r="E93" s="63">
        <v>4</v>
      </c>
      <c r="F93" s="65">
        <f>IF(D89/VLOOKUP(E93,$B$4:$E$25,3,0)=0,D89/VLOOKUP(E93,$B$4:$E$25,3,0),INT(D89/VLOOKUP(E93,$B$4:$E$25,3,0))+1)</f>
        <v>73</v>
      </c>
      <c r="G93" s="63">
        <f t="shared" si="51"/>
        <v>8</v>
      </c>
      <c r="H93" s="63">
        <f t="shared" si="52"/>
        <v>1430</v>
      </c>
      <c r="I93" s="88">
        <f t="shared" si="30"/>
        <v>41.2215232</v>
      </c>
      <c r="J93" s="202"/>
      <c r="K93" s="202"/>
      <c r="L93" s="189"/>
      <c r="M93" s="189"/>
      <c r="N93" s="189"/>
    </row>
    <row r="94" spans="2:14" x14ac:dyDescent="0.15">
      <c r="B94" s="203">
        <v>11</v>
      </c>
      <c r="C94" s="203">
        <v>1</v>
      </c>
      <c r="D94" s="203">
        <v>2700</v>
      </c>
      <c r="E94" s="65">
        <v>18</v>
      </c>
      <c r="F94" s="65">
        <f>IF(D94/VLOOKUP(E94,$B$4:$E$25,3,0)=0,D94/VLOOKUP(E94,$B$4:$E$25,3,0),INT(D94/VLOOKUP(E94,$B$4:$E$25,3,0))+1)</f>
        <v>19</v>
      </c>
      <c r="G94" s="65">
        <f>VLOOKUP(E94,$B$4:$E$25,2,0)</f>
        <v>8</v>
      </c>
      <c r="H94" s="65">
        <f>VLOOKUP(E94,$B$4:$E$25,4,0)</f>
        <v>1230</v>
      </c>
      <c r="I94" s="89">
        <f t="shared" ref="I94:I108" si="53">F94*(G94/10)^2*0.617*H94/1000</f>
        <v>9.2283456000000008</v>
      </c>
      <c r="J94" s="203">
        <f>SUM(I94:I100)</f>
        <v>313.29784136000001</v>
      </c>
      <c r="K94" s="203">
        <f>PRODUCT(D94:D99)/10^6</f>
        <v>19.440000000000001</v>
      </c>
      <c r="L94" s="189">
        <f>K94*$L$28</f>
        <v>2.3328000000000002</v>
      </c>
      <c r="M94" s="189"/>
      <c r="N94" s="189">
        <v>1</v>
      </c>
    </row>
    <row r="95" spans="2:14" x14ac:dyDescent="0.15">
      <c r="B95" s="201"/>
      <c r="C95" s="201"/>
      <c r="D95" s="201"/>
      <c r="E95" s="63">
        <v>17</v>
      </c>
      <c r="F95" s="65">
        <f>IF(D94/VLOOKUP(E95,$B$4:$E$25,3,0)=0,D94/VLOOKUP(E95,$B$4:$E$25,3,0),INT(D94/VLOOKUP(E95,$B$4:$E$25,3,0))+1)</f>
        <v>19</v>
      </c>
      <c r="G95" s="63">
        <f t="shared" ref="G95:G96" si="54">VLOOKUP(E95,$B$4:$E$25,2,0)</f>
        <v>8</v>
      </c>
      <c r="H95" s="63">
        <f t="shared" ref="H95:H96" si="55">VLOOKUP(E95,$B$4:$E$25,4,0)</f>
        <v>7654</v>
      </c>
      <c r="I95" s="88">
        <f t="shared" si="53"/>
        <v>57.425818880000008</v>
      </c>
      <c r="J95" s="201"/>
      <c r="K95" s="201"/>
      <c r="L95" s="189"/>
      <c r="M95" s="189"/>
      <c r="N95" s="189"/>
    </row>
    <row r="96" spans="2:14" x14ac:dyDescent="0.15">
      <c r="B96" s="201"/>
      <c r="C96" s="201"/>
      <c r="D96" s="202"/>
      <c r="E96" s="63">
        <v>14</v>
      </c>
      <c r="F96" s="65">
        <f>IF(D94/VLOOKUP(E96,$B$4:$E$25,3,0)=0,D94/VLOOKUP(E96,$B$4:$E$25,3,0),INT(D94/VLOOKUP(E96,$B$4:$E$25,3,0))+1)</f>
        <v>14</v>
      </c>
      <c r="G96" s="63">
        <f t="shared" si="54"/>
        <v>10</v>
      </c>
      <c r="H96" s="63">
        <f t="shared" si="55"/>
        <v>1230</v>
      </c>
      <c r="I96" s="88">
        <f t="shared" si="53"/>
        <v>10.624739999999999</v>
      </c>
      <c r="J96" s="201"/>
      <c r="K96" s="201"/>
      <c r="L96" s="189"/>
      <c r="M96" s="189"/>
      <c r="N96" s="189"/>
    </row>
    <row r="97" spans="2:14" x14ac:dyDescent="0.15">
      <c r="B97" s="201"/>
      <c r="C97" s="201"/>
      <c r="D97" s="203">
        <v>7200</v>
      </c>
      <c r="E97" s="63">
        <v>1</v>
      </c>
      <c r="F97" s="65">
        <f>IF(D97/VLOOKUP(E97,$B$4:$E$25,3,0)=0,D97/VLOOKUP(E97,$B$4:$E$25,3,0),INT(D97/VLOOKUP(E97,$B$4:$E$25,3,0))+1)</f>
        <v>37</v>
      </c>
      <c r="G97" s="63">
        <f>VLOOKUP(E97,$B$4:$E$25,2,0)</f>
        <v>10</v>
      </c>
      <c r="H97" s="63">
        <f>VLOOKUP(E97,$B$4:$E$25,4,0)</f>
        <v>4054</v>
      </c>
      <c r="I97" s="88">
        <f t="shared" si="53"/>
        <v>92.548766000000001</v>
      </c>
      <c r="J97" s="201"/>
      <c r="K97" s="201"/>
      <c r="L97" s="189"/>
      <c r="M97" s="189"/>
      <c r="N97" s="189"/>
    </row>
    <row r="98" spans="2:14" x14ac:dyDescent="0.15">
      <c r="B98" s="201"/>
      <c r="C98" s="201"/>
      <c r="D98" s="201"/>
      <c r="E98" s="63">
        <v>4</v>
      </c>
      <c r="F98" s="65">
        <f>IF(D97/VLOOKUP(E98,$B$4:$E$25,3,0)=0,D97/VLOOKUP(E98,$B$4:$E$25,3,0),INT(D97/VLOOKUP(E98,$B$4:$E$25,3,0))+1)</f>
        <v>73</v>
      </c>
      <c r="G98" s="63">
        <f t="shared" ref="G98:G100" si="56">VLOOKUP(E98,$B$4:$E$25,2,0)</f>
        <v>8</v>
      </c>
      <c r="H98" s="63">
        <f t="shared" ref="H98:H100" si="57">VLOOKUP(E98,$B$4:$E$25,4,0)</f>
        <v>1430</v>
      </c>
      <c r="I98" s="88">
        <f t="shared" si="53"/>
        <v>41.2215232</v>
      </c>
      <c r="J98" s="201"/>
      <c r="K98" s="201"/>
      <c r="L98" s="189"/>
      <c r="M98" s="189"/>
      <c r="N98" s="189"/>
    </row>
    <row r="99" spans="2:14" x14ac:dyDescent="0.15">
      <c r="B99" s="201"/>
      <c r="C99" s="201"/>
      <c r="D99" s="201"/>
      <c r="E99" s="63">
        <v>13</v>
      </c>
      <c r="F99" s="65">
        <f>IF(D97/VLOOKUP(E99,$B$4:$E$25,3,0)=0,D97/VLOOKUP(E99,$B$4:$E$25,3,0),INT(D97/VLOOKUP(E99,$B$4:$E$25,3,0))+1)</f>
        <v>49</v>
      </c>
      <c r="G99" s="63">
        <f t="shared" si="56"/>
        <v>8</v>
      </c>
      <c r="H99" s="63">
        <f t="shared" si="57"/>
        <v>3154</v>
      </c>
      <c r="I99" s="88">
        <f t="shared" si="53"/>
        <v>61.027124480000005</v>
      </c>
      <c r="J99" s="201"/>
      <c r="K99" s="201"/>
      <c r="L99" s="189"/>
      <c r="M99" s="189"/>
      <c r="N99" s="189"/>
    </row>
    <row r="100" spans="2:14" x14ac:dyDescent="0.15">
      <c r="B100" s="202"/>
      <c r="C100" s="202"/>
      <c r="D100" s="202"/>
      <c r="E100" s="63">
        <v>4</v>
      </c>
      <c r="F100" s="65">
        <f>IF(D97/VLOOKUP(E100,$B$4:$E$25,3,0)=0,D97/VLOOKUP(E100,$B$4:$E$25,3,0),INT(D97/VLOOKUP(E100,$B$4:$E$25,3,0))+1)</f>
        <v>73</v>
      </c>
      <c r="G100" s="63">
        <f t="shared" si="56"/>
        <v>8</v>
      </c>
      <c r="H100" s="63">
        <f t="shared" si="57"/>
        <v>1430</v>
      </c>
      <c r="I100" s="88">
        <f t="shared" si="53"/>
        <v>41.2215232</v>
      </c>
      <c r="J100" s="202"/>
      <c r="K100" s="202"/>
      <c r="L100" s="189"/>
      <c r="M100" s="189"/>
      <c r="N100" s="189"/>
    </row>
    <row r="101" spans="2:14" x14ac:dyDescent="0.15">
      <c r="B101" s="189">
        <v>12</v>
      </c>
      <c r="C101" s="189">
        <v>1</v>
      </c>
      <c r="D101" s="203">
        <v>2700</v>
      </c>
      <c r="E101" s="65">
        <v>14</v>
      </c>
      <c r="F101" s="65">
        <f>IF(D101/VLOOKUP(E101,$B$4:$E$25,3,0)=0,D101/VLOOKUP(E101,$B$4:$E$25,3,0),INT(D101/VLOOKUP(E101,$B$4:$E$25,3,0))+1)</f>
        <v>14</v>
      </c>
      <c r="G101" s="65">
        <f>VLOOKUP(E101,$B$4:$E$25,2,0)</f>
        <v>10</v>
      </c>
      <c r="H101" s="65">
        <f>VLOOKUP(E101,$B$4:$E$25,4,0)</f>
        <v>1230</v>
      </c>
      <c r="I101" s="89">
        <f t="shared" si="53"/>
        <v>10.624739999999999</v>
      </c>
      <c r="J101" s="203">
        <f>SUM(I101:I108)</f>
        <v>280.01167856000001</v>
      </c>
      <c r="K101" s="203">
        <f>PRODUCT(D101:D106)/10^6</f>
        <v>19.440000000000001</v>
      </c>
      <c r="L101" s="189">
        <f>K101*$L$28</f>
        <v>2.3328000000000002</v>
      </c>
      <c r="M101" s="189"/>
      <c r="N101" s="189">
        <v>1</v>
      </c>
    </row>
    <row r="102" spans="2:14" x14ac:dyDescent="0.15">
      <c r="B102" s="201"/>
      <c r="C102" s="201"/>
      <c r="D102" s="201"/>
      <c r="E102" s="63">
        <v>12</v>
      </c>
      <c r="F102" s="65">
        <f>IF(D101/VLOOKUP(E102,$B$4:$E$25,3,0)=0,D101/VLOOKUP(E102,$B$4:$E$25,3,0),INT(D101/VLOOKUP(E102,$B$4:$E$25,3,0))+1)</f>
        <v>19</v>
      </c>
      <c r="G102" s="63">
        <f t="shared" ref="G102:G103" si="58">VLOOKUP(E102,$B$4:$E$25,2,0)</f>
        <v>8</v>
      </c>
      <c r="H102" s="63">
        <f t="shared" ref="H102:H103" si="59">VLOOKUP(E102,$B$4:$E$25,4,0)</f>
        <v>7624</v>
      </c>
      <c r="I102" s="88">
        <f t="shared" si="53"/>
        <v>57.200737280000006</v>
      </c>
      <c r="J102" s="201"/>
      <c r="K102" s="201"/>
      <c r="L102" s="189"/>
      <c r="M102" s="189"/>
      <c r="N102" s="189"/>
    </row>
    <row r="103" spans="2:14" x14ac:dyDescent="0.15">
      <c r="B103" s="201"/>
      <c r="C103" s="201"/>
      <c r="D103" s="202"/>
      <c r="E103" s="63">
        <v>16</v>
      </c>
      <c r="F103" s="65">
        <f>IF(D101/VLOOKUP(E103,$B$4:$E$25,3,0)=0,D101/VLOOKUP(E103,$B$4:$E$25,3,0),INT(D101/VLOOKUP(E103,$B$4:$E$25,3,0))+1)</f>
        <v>14</v>
      </c>
      <c r="G103" s="63">
        <f t="shared" si="58"/>
        <v>8</v>
      </c>
      <c r="H103" s="63">
        <f t="shared" si="59"/>
        <v>1350</v>
      </c>
      <c r="I103" s="88">
        <f t="shared" si="53"/>
        <v>7.4632320000000005</v>
      </c>
      <c r="J103" s="201"/>
      <c r="K103" s="201"/>
      <c r="L103" s="189"/>
      <c r="M103" s="189"/>
      <c r="N103" s="189"/>
    </row>
    <row r="104" spans="2:14" x14ac:dyDescent="0.15">
      <c r="B104" s="201"/>
      <c r="C104" s="201"/>
      <c r="D104" s="203">
        <v>7200</v>
      </c>
      <c r="E104" s="63">
        <v>10</v>
      </c>
      <c r="F104" s="65">
        <f>IF(D104/VLOOKUP(E104,$B$4:$E$25,3,0)=0,D104/VLOOKUP(E104,$B$4:$E$25,3,0),INT(D104/VLOOKUP(E104,$B$4:$E$25,3,0))+1)</f>
        <v>37</v>
      </c>
      <c r="G104" s="63">
        <f>VLOOKUP(E104,$B$4:$E$25,2,0)</f>
        <v>8</v>
      </c>
      <c r="H104" s="63">
        <f>VLOOKUP(E104,$B$4:$E$25,4,0)</f>
        <v>1300</v>
      </c>
      <c r="I104" s="88">
        <f t="shared" si="53"/>
        <v>18.993728000000004</v>
      </c>
      <c r="J104" s="201"/>
      <c r="K104" s="201"/>
      <c r="L104" s="189"/>
      <c r="M104" s="189"/>
      <c r="N104" s="189"/>
    </row>
    <row r="105" spans="2:14" x14ac:dyDescent="0.15">
      <c r="B105" s="201"/>
      <c r="C105" s="201"/>
      <c r="D105" s="201"/>
      <c r="E105" s="63">
        <v>15</v>
      </c>
      <c r="F105" s="65">
        <f>IF(D104/VLOOKUP(E105,$B$4:$E$25,3,0)=0,D104/VLOOKUP(E105,$B$4:$E$25,3,0),INT(D104/VLOOKUP(E105,$B$4:$E$25,3,0))+1)</f>
        <v>58</v>
      </c>
      <c r="G105" s="63">
        <f t="shared" ref="G105:G108" si="60">VLOOKUP(E105,$B$4:$E$25,2,0)</f>
        <v>10</v>
      </c>
      <c r="H105" s="63">
        <f t="shared" ref="H105:H108" si="61">VLOOKUP(E105,$B$4:$E$25,4,0)</f>
        <v>1430</v>
      </c>
      <c r="I105" s="88">
        <f t="shared" si="53"/>
        <v>51.17398</v>
      </c>
      <c r="J105" s="201"/>
      <c r="K105" s="201"/>
      <c r="L105" s="189"/>
      <c r="M105" s="189"/>
      <c r="N105" s="189"/>
    </row>
    <row r="106" spans="2:14" x14ac:dyDescent="0.15">
      <c r="B106" s="201"/>
      <c r="C106" s="201"/>
      <c r="D106" s="201"/>
      <c r="E106" s="63">
        <v>13</v>
      </c>
      <c r="F106" s="65">
        <f>IF(D104/VLOOKUP(E106,$B$4:$E$25,3,0)=0,D104/VLOOKUP(E106,$B$4:$E$25,3,0),INT(D104/VLOOKUP(E106,$B$4:$E$25,3,0))+1)</f>
        <v>49</v>
      </c>
      <c r="G106" s="63">
        <f t="shared" si="60"/>
        <v>8</v>
      </c>
      <c r="H106" s="63">
        <f t="shared" si="61"/>
        <v>3154</v>
      </c>
      <c r="I106" s="88">
        <f t="shared" si="53"/>
        <v>61.027124480000005</v>
      </c>
      <c r="J106" s="201"/>
      <c r="K106" s="201"/>
      <c r="L106" s="189"/>
      <c r="M106" s="189"/>
      <c r="N106" s="189"/>
    </row>
    <row r="107" spans="2:14" x14ac:dyDescent="0.15">
      <c r="B107" s="201"/>
      <c r="C107" s="201"/>
      <c r="D107" s="201"/>
      <c r="E107" s="63">
        <v>6</v>
      </c>
      <c r="F107" s="65">
        <f>IF(D104/VLOOKUP(E107,$B$4:$E$25,3,0)=0,D104/VLOOKUP(E107,$B$4:$E$25,3,0),INT(D104/VLOOKUP(E107,$B$4:$E$25,3,0))+1)</f>
        <v>37</v>
      </c>
      <c r="G107" s="63">
        <f t="shared" si="60"/>
        <v>8</v>
      </c>
      <c r="H107" s="63">
        <f t="shared" si="61"/>
        <v>1530</v>
      </c>
      <c r="I107" s="88">
        <f t="shared" si="53"/>
        <v>22.354156800000002</v>
      </c>
      <c r="J107" s="201"/>
      <c r="K107" s="201"/>
      <c r="L107" s="189"/>
      <c r="M107" s="189"/>
      <c r="N107" s="189"/>
    </row>
    <row r="108" spans="2:14" x14ac:dyDescent="0.15">
      <c r="B108" s="202"/>
      <c r="C108" s="202"/>
      <c r="D108" s="202"/>
      <c r="E108" s="63">
        <v>15</v>
      </c>
      <c r="F108" s="65">
        <f>IF(D104/VLOOKUP(E108,$B$4:$E$25,3,0)=0,D104/VLOOKUP(E108,$B$4:$E$25,3,0),INT(D104/VLOOKUP(E108,$B$4:$E$25,3,0))+1)</f>
        <v>58</v>
      </c>
      <c r="G108" s="63">
        <f t="shared" si="60"/>
        <v>10</v>
      </c>
      <c r="H108" s="63">
        <f t="shared" si="61"/>
        <v>1430</v>
      </c>
      <c r="I108" s="88">
        <f t="shared" si="53"/>
        <v>51.17398</v>
      </c>
      <c r="J108" s="202"/>
      <c r="K108" s="202"/>
      <c r="L108" s="189"/>
      <c r="M108" s="189"/>
      <c r="N108" s="189"/>
    </row>
    <row r="110" spans="2:14" ht="14.25" thickBot="1" x14ac:dyDescent="0.2"/>
    <row r="111" spans="2:14" ht="14.25" thickBot="1" x14ac:dyDescent="0.2">
      <c r="B111" s="233" t="s">
        <v>178</v>
      </c>
      <c r="C111" s="234"/>
      <c r="D111" s="234"/>
      <c r="E111" s="235"/>
    </row>
    <row r="112" spans="2:14" ht="14.25" thickBot="1" x14ac:dyDescent="0.2">
      <c r="B112" s="116" t="s">
        <v>165</v>
      </c>
      <c r="C112" s="116" t="s">
        <v>166</v>
      </c>
      <c r="D112" s="116" t="s">
        <v>167</v>
      </c>
      <c r="E112" s="117" t="s">
        <v>168</v>
      </c>
    </row>
    <row r="113" spans="2:5" x14ac:dyDescent="0.15">
      <c r="B113" s="86">
        <v>1</v>
      </c>
      <c r="C113" s="99">
        <v>10</v>
      </c>
      <c r="D113" s="99">
        <v>200</v>
      </c>
      <c r="E113" s="87">
        <v>4054</v>
      </c>
    </row>
    <row r="114" spans="2:5" x14ac:dyDescent="0.15">
      <c r="B114" s="90">
        <v>2</v>
      </c>
      <c r="C114" s="93">
        <v>8</v>
      </c>
      <c r="D114" s="93">
        <v>150</v>
      </c>
      <c r="E114" s="91">
        <v>7049</v>
      </c>
    </row>
    <row r="115" spans="2:5" x14ac:dyDescent="0.15">
      <c r="B115" s="90">
        <v>3</v>
      </c>
      <c r="C115" s="93">
        <v>16</v>
      </c>
      <c r="D115" s="93">
        <v>200</v>
      </c>
      <c r="E115" s="91">
        <v>1430</v>
      </c>
    </row>
    <row r="116" spans="2:5" x14ac:dyDescent="0.15">
      <c r="B116" s="90">
        <v>4</v>
      </c>
      <c r="C116" s="93">
        <v>8</v>
      </c>
      <c r="D116" s="93">
        <v>100</v>
      </c>
      <c r="E116" s="91">
        <v>1430</v>
      </c>
    </row>
    <row r="117" spans="2:5" x14ac:dyDescent="0.15">
      <c r="B117" s="90">
        <v>5</v>
      </c>
      <c r="C117" s="93">
        <v>12</v>
      </c>
      <c r="D117" s="93">
        <v>200</v>
      </c>
      <c r="E117" s="91">
        <v>1430</v>
      </c>
    </row>
    <row r="118" spans="2:5" x14ac:dyDescent="0.15">
      <c r="B118" s="90">
        <v>6</v>
      </c>
      <c r="C118" s="93">
        <v>8</v>
      </c>
      <c r="D118" s="93">
        <v>200</v>
      </c>
      <c r="E118" s="91">
        <v>1530</v>
      </c>
    </row>
    <row r="119" spans="2:5" x14ac:dyDescent="0.15">
      <c r="B119" s="90">
        <v>7</v>
      </c>
      <c r="C119" s="93">
        <v>12</v>
      </c>
      <c r="D119" s="93">
        <v>150</v>
      </c>
      <c r="E119" s="91">
        <v>4000</v>
      </c>
    </row>
    <row r="120" spans="2:5" x14ac:dyDescent="0.15">
      <c r="B120" s="90">
        <v>8</v>
      </c>
      <c r="C120" s="93">
        <v>10</v>
      </c>
      <c r="D120" s="93">
        <v>200</v>
      </c>
      <c r="E120" s="91">
        <v>7049</v>
      </c>
    </row>
    <row r="121" spans="2:5" x14ac:dyDescent="0.15">
      <c r="B121" s="90">
        <v>9</v>
      </c>
      <c r="C121" s="93">
        <v>10</v>
      </c>
      <c r="D121" s="93">
        <v>200</v>
      </c>
      <c r="E121" s="91">
        <v>1434</v>
      </c>
    </row>
    <row r="122" spans="2:5" x14ac:dyDescent="0.15">
      <c r="B122" s="90">
        <v>10</v>
      </c>
      <c r="C122" s="93">
        <v>8</v>
      </c>
      <c r="D122" s="93">
        <v>200</v>
      </c>
      <c r="E122" s="91">
        <v>1300</v>
      </c>
    </row>
    <row r="123" spans="2:5" x14ac:dyDescent="0.15">
      <c r="B123" s="90">
        <v>11</v>
      </c>
      <c r="C123" s="93">
        <v>14</v>
      </c>
      <c r="D123" s="93">
        <v>100</v>
      </c>
      <c r="E123" s="91">
        <v>1430</v>
      </c>
    </row>
    <row r="124" spans="2:5" x14ac:dyDescent="0.15">
      <c r="B124" s="90">
        <v>12</v>
      </c>
      <c r="C124" s="93">
        <v>12</v>
      </c>
      <c r="D124" s="93">
        <v>150</v>
      </c>
      <c r="E124" s="91">
        <v>3995</v>
      </c>
    </row>
    <row r="125" spans="2:5" x14ac:dyDescent="0.15">
      <c r="B125" s="90">
        <v>13</v>
      </c>
      <c r="C125" s="93">
        <v>8</v>
      </c>
      <c r="D125" s="93">
        <v>150</v>
      </c>
      <c r="E125" s="91">
        <v>7624</v>
      </c>
    </row>
    <row r="126" spans="2:5" x14ac:dyDescent="0.15">
      <c r="B126" s="90">
        <v>14</v>
      </c>
      <c r="C126" s="93">
        <v>8</v>
      </c>
      <c r="D126" s="93">
        <v>150</v>
      </c>
      <c r="E126" s="91">
        <v>3154</v>
      </c>
    </row>
    <row r="127" spans="2:5" x14ac:dyDescent="0.15">
      <c r="B127" s="90">
        <v>15</v>
      </c>
      <c r="C127" s="93">
        <v>10</v>
      </c>
      <c r="D127" s="93">
        <v>200</v>
      </c>
      <c r="E127" s="91">
        <v>1030</v>
      </c>
    </row>
    <row r="128" spans="2:5" x14ac:dyDescent="0.15">
      <c r="B128" s="90">
        <v>16</v>
      </c>
      <c r="C128" s="93">
        <v>10</v>
      </c>
      <c r="D128" s="93">
        <v>125</v>
      </c>
      <c r="E128" s="91">
        <v>1230</v>
      </c>
    </row>
    <row r="129" spans="2:14" x14ac:dyDescent="0.15">
      <c r="B129" s="90">
        <v>17</v>
      </c>
      <c r="C129" s="93">
        <v>8</v>
      </c>
      <c r="D129" s="93">
        <v>200</v>
      </c>
      <c r="E129" s="91">
        <v>1350</v>
      </c>
    </row>
    <row r="130" spans="2:14" x14ac:dyDescent="0.15">
      <c r="B130" s="90">
        <v>18</v>
      </c>
      <c r="C130" s="93">
        <v>8</v>
      </c>
      <c r="D130" s="93">
        <v>150</v>
      </c>
      <c r="E130" s="91">
        <v>7654</v>
      </c>
    </row>
    <row r="131" spans="2:14" x14ac:dyDescent="0.15">
      <c r="B131" s="90">
        <v>19</v>
      </c>
      <c r="C131" s="93">
        <v>8</v>
      </c>
      <c r="D131" s="93">
        <v>150</v>
      </c>
      <c r="E131" s="91">
        <v>1030</v>
      </c>
      <c r="G131" s="66"/>
    </row>
    <row r="132" spans="2:14" x14ac:dyDescent="0.15">
      <c r="B132" s="90">
        <v>20</v>
      </c>
      <c r="C132" s="93">
        <v>12</v>
      </c>
      <c r="D132" s="93">
        <v>150</v>
      </c>
      <c r="E132" s="91">
        <v>1430</v>
      </c>
    </row>
    <row r="133" spans="2:14" x14ac:dyDescent="0.15">
      <c r="B133" s="90">
        <v>21</v>
      </c>
      <c r="C133" s="93">
        <v>8</v>
      </c>
      <c r="D133" s="93">
        <v>100</v>
      </c>
      <c r="E133" s="91">
        <v>4049</v>
      </c>
      <c r="G133" s="66"/>
    </row>
    <row r="134" spans="2:14" ht="14.25" thickBot="1" x14ac:dyDescent="0.2">
      <c r="B134" s="20">
        <v>22</v>
      </c>
      <c r="C134" s="8">
        <v>8</v>
      </c>
      <c r="D134" s="8">
        <v>100</v>
      </c>
      <c r="E134" s="9">
        <v>4059</v>
      </c>
    </row>
    <row r="135" spans="2:14" x14ac:dyDescent="0.15">
      <c r="B135" s="94"/>
      <c r="C135" s="94"/>
      <c r="D135" s="94"/>
      <c r="E135" s="94"/>
    </row>
    <row r="136" spans="2:14" ht="14.25" thickBot="1" x14ac:dyDescent="0.2">
      <c r="B136" s="94"/>
      <c r="C136" s="94"/>
      <c r="D136" s="94"/>
      <c r="E136" s="94"/>
    </row>
    <row r="137" spans="2:14" ht="14.25" thickBot="1" x14ac:dyDescent="0.2">
      <c r="B137" s="233" t="s">
        <v>179</v>
      </c>
      <c r="C137" s="234"/>
      <c r="D137" s="234"/>
      <c r="E137" s="234"/>
      <c r="F137" s="234"/>
      <c r="G137" s="234"/>
      <c r="H137" s="234"/>
      <c r="I137" s="234"/>
      <c r="J137" s="234"/>
      <c r="K137" s="235"/>
      <c r="L137" s="123">
        <v>0.12</v>
      </c>
      <c r="M137" s="124"/>
      <c r="N137" s="124"/>
    </row>
    <row r="138" spans="2:14" ht="16.5" thickBot="1" x14ac:dyDescent="0.2">
      <c r="B138" s="116" t="s">
        <v>170</v>
      </c>
      <c r="C138" s="116" t="s">
        <v>173</v>
      </c>
      <c r="D138" s="116" t="s">
        <v>176</v>
      </c>
      <c r="E138" s="116" t="s">
        <v>172</v>
      </c>
      <c r="F138" s="116" t="s">
        <v>174</v>
      </c>
      <c r="G138" s="116" t="s">
        <v>166</v>
      </c>
      <c r="H138" s="116" t="s">
        <v>168</v>
      </c>
      <c r="I138" s="117" t="s">
        <v>175</v>
      </c>
      <c r="J138" s="117" t="s">
        <v>191</v>
      </c>
      <c r="K138" s="116" t="s">
        <v>195</v>
      </c>
      <c r="L138" s="125" t="s">
        <v>162</v>
      </c>
      <c r="M138" s="125" t="s">
        <v>182</v>
      </c>
      <c r="N138" s="125" t="s">
        <v>183</v>
      </c>
    </row>
    <row r="139" spans="2:14" x14ac:dyDescent="0.15">
      <c r="B139" s="200">
        <v>1</v>
      </c>
      <c r="C139" s="200">
        <v>1</v>
      </c>
      <c r="D139" s="200">
        <v>6600</v>
      </c>
      <c r="E139" s="99">
        <v>3</v>
      </c>
      <c r="F139" s="99">
        <f>IF(D139/VLOOKUP(E139,$B$113:$E$134,3,0)=0,D139/VLOOKUP(E139,$B$113:$E$134,3,0),INT(D139/VLOOKUP(E139,$B$113:$E$134,3,0))+1)</f>
        <v>34</v>
      </c>
      <c r="G139" s="99">
        <f>VLOOKUP(E139,$B$113:$E$134,2,0)</f>
        <v>16</v>
      </c>
      <c r="H139" s="99">
        <f>VLOOKUP(E139,$B$113:$E$134,4,0)</f>
        <v>1430</v>
      </c>
      <c r="I139" s="106">
        <f>F139*(G139/10)^2*0.617*H139/1000</f>
        <v>76.796262400000018</v>
      </c>
      <c r="J139" s="200">
        <f>SUM(I139:I144)</f>
        <v>306.99896240000004</v>
      </c>
      <c r="K139" s="200">
        <f>PRODUCT(D139:D144)/10^6</f>
        <v>23.76</v>
      </c>
      <c r="L139" s="200">
        <f>K139*$L$137</f>
        <v>2.8512</v>
      </c>
      <c r="M139" s="200">
        <v>1</v>
      </c>
      <c r="N139" s="200"/>
    </row>
    <row r="140" spans="2:14" x14ac:dyDescent="0.15">
      <c r="B140" s="201"/>
      <c r="C140" s="201"/>
      <c r="D140" s="201"/>
      <c r="E140" s="93">
        <v>1</v>
      </c>
      <c r="F140" s="93">
        <f>IF(D139/VLOOKUP(E140,$B$113:$E$134,3,0)=0,D139/VLOOKUP(E140,$B$113:$E$134,3,0),INT(D139/VLOOKUP(E140,$B$113:$E$134,3,0))+1)</f>
        <v>34</v>
      </c>
      <c r="G140" s="93">
        <f>VLOOKUP(E140,$B$113:$E$134,2,0)</f>
        <v>10</v>
      </c>
      <c r="H140" s="93">
        <f t="shared" ref="H140:H144" si="62">VLOOKUP(E140,$B$113:$E$134,4,0)</f>
        <v>4054</v>
      </c>
      <c r="I140" s="88">
        <f>F140*(G140/10)^2*0.617*H140/1000</f>
        <v>85.044812000000007</v>
      </c>
      <c r="J140" s="201"/>
      <c r="K140" s="201"/>
      <c r="L140" s="201"/>
      <c r="M140" s="201"/>
      <c r="N140" s="201"/>
    </row>
    <row r="141" spans="2:14" x14ac:dyDescent="0.15">
      <c r="B141" s="201"/>
      <c r="C141" s="201"/>
      <c r="D141" s="202"/>
      <c r="E141" s="93">
        <v>5</v>
      </c>
      <c r="F141" s="93">
        <f>IF(D139/VLOOKUP(E141,$B$113:$E$134,3,0)=0,D139/VLOOKUP(E141,$B$113:$E$134,3,0),INT(D139/VLOOKUP(E141,$B$113:$E$134,3,0))+1)</f>
        <v>34</v>
      </c>
      <c r="G141" s="93">
        <f t="shared" ref="G141:G144" si="63">VLOOKUP(E141,$B$113:$E$134,2,0)</f>
        <v>12</v>
      </c>
      <c r="H141" s="93">
        <f t="shared" si="62"/>
        <v>1430</v>
      </c>
      <c r="I141" s="88">
        <f t="shared" ref="I141:I144" si="64">F141*(G141/10)^2*0.617*H141/1000</f>
        <v>43.197897600000005</v>
      </c>
      <c r="J141" s="201"/>
      <c r="K141" s="201"/>
      <c r="L141" s="201"/>
      <c r="M141" s="201"/>
      <c r="N141" s="201"/>
    </row>
    <row r="142" spans="2:14" x14ac:dyDescent="0.15">
      <c r="B142" s="201"/>
      <c r="C142" s="201"/>
      <c r="D142" s="203">
        <v>3600</v>
      </c>
      <c r="E142" s="93">
        <v>6</v>
      </c>
      <c r="F142" s="93">
        <f>IF(D142/VLOOKUP(E142,$B$113:$E$134,3,0)=0,D142/VLOOKUP(E142,$B$113:$E$134,3,0),INT(D142/VLOOKUP(E142,$B$113:$E$134,3,0))+1)</f>
        <v>19</v>
      </c>
      <c r="G142" s="93">
        <f t="shared" si="63"/>
        <v>8</v>
      </c>
      <c r="H142" s="93">
        <f t="shared" si="62"/>
        <v>1530</v>
      </c>
      <c r="I142" s="88">
        <f t="shared" si="64"/>
        <v>11.479161600000001</v>
      </c>
      <c r="J142" s="201"/>
      <c r="K142" s="201"/>
      <c r="L142" s="201"/>
      <c r="M142" s="201"/>
      <c r="N142" s="201"/>
    </row>
    <row r="143" spans="2:14" x14ac:dyDescent="0.15">
      <c r="B143" s="201"/>
      <c r="C143" s="201"/>
      <c r="D143" s="201"/>
      <c r="E143" s="93">
        <v>2</v>
      </c>
      <c r="F143" s="93">
        <f>IF(D142/VLOOKUP(E143,$B$113:$E$134,3,0)=0,D142/VLOOKUP(E143,$B$113:$E$134,3,0),INT(D142/VLOOKUP(E143,$B$113:$E$134,3,0))+1)</f>
        <v>25</v>
      </c>
      <c r="G143" s="93">
        <f t="shared" si="63"/>
        <v>8</v>
      </c>
      <c r="H143" s="93">
        <f t="shared" si="62"/>
        <v>7049</v>
      </c>
      <c r="I143" s="88">
        <f>F143*(G143/10)^2*0.617*H143/1000</f>
        <v>69.587728000000013</v>
      </c>
      <c r="J143" s="201"/>
      <c r="K143" s="201"/>
      <c r="L143" s="201"/>
      <c r="M143" s="201"/>
      <c r="N143" s="201"/>
    </row>
    <row r="144" spans="2:14" x14ac:dyDescent="0.15">
      <c r="B144" s="201"/>
      <c r="C144" s="201"/>
      <c r="D144" s="201"/>
      <c r="E144" s="98">
        <v>4</v>
      </c>
      <c r="F144" s="98">
        <f>IF(D142/VLOOKUP(E144,$B$113:$E$134,3,0)=0,D142/VLOOKUP(E144,$B$113:$E$134,3,0),INT(D142/VLOOKUP(E144,$B$113:$E$134,3,0))+1)</f>
        <v>37</v>
      </c>
      <c r="G144" s="98">
        <f t="shared" si="63"/>
        <v>8</v>
      </c>
      <c r="H144" s="98">
        <f t="shared" si="62"/>
        <v>1430</v>
      </c>
      <c r="I144" s="105">
        <f t="shared" si="64"/>
        <v>20.893100799999999</v>
      </c>
      <c r="J144" s="201"/>
      <c r="K144" s="201"/>
      <c r="L144" s="201"/>
      <c r="M144" s="201"/>
      <c r="N144" s="201"/>
    </row>
    <row r="145" spans="2:14" x14ac:dyDescent="0.15">
      <c r="B145" s="189">
        <v>2</v>
      </c>
      <c r="C145" s="189">
        <v>14</v>
      </c>
      <c r="D145" s="189">
        <v>6600</v>
      </c>
      <c r="E145" s="93">
        <v>5</v>
      </c>
      <c r="F145" s="93">
        <f>IF(D145/VLOOKUP(E145,$B$113:$E$134,3,0)=0,D145/VLOOKUP(E145,$B$113:$E$134,3,0),INT(D145/VLOOKUP(E145,$B$113:$E$134,3,0))+1)</f>
        <v>34</v>
      </c>
      <c r="G145" s="93">
        <f>VLOOKUP(E145,$B$113:$E$134,2,0)</f>
        <v>12</v>
      </c>
      <c r="H145" s="93">
        <f>VLOOKUP(E145,$B$113:$E$134,4,0)</f>
        <v>1430</v>
      </c>
      <c r="I145" s="88">
        <f>F145*(G145/10)^2*0.617*H145/1000</f>
        <v>43.197897600000005</v>
      </c>
      <c r="J145" s="189">
        <f t="shared" ref="J145" si="65">SUM(I145:I150)</f>
        <v>273.40059760000003</v>
      </c>
      <c r="K145" s="189">
        <f>PRODUCT(D145:D150)/10^6</f>
        <v>23.76</v>
      </c>
      <c r="L145" s="189">
        <f>K145*$L$137</f>
        <v>2.8512</v>
      </c>
      <c r="M145" s="189">
        <v>8</v>
      </c>
      <c r="N145" s="189">
        <v>6</v>
      </c>
    </row>
    <row r="146" spans="2:14" x14ac:dyDescent="0.15">
      <c r="B146" s="189"/>
      <c r="C146" s="189"/>
      <c r="D146" s="189"/>
      <c r="E146" s="93">
        <v>1</v>
      </c>
      <c r="F146" s="93">
        <f>IF(D145/VLOOKUP(E146,$B$113:$E$134,3,0)=0,D145/VLOOKUP(E146,$B$113:$E$134,3,0),INT(D145/VLOOKUP(E146,$B$113:$E$134,3,0))+1)</f>
        <v>34</v>
      </c>
      <c r="G146" s="93">
        <f>VLOOKUP(E146,$B$113:$E$134,2,0)</f>
        <v>10</v>
      </c>
      <c r="H146" s="93">
        <f t="shared" ref="H146:H150" si="66">VLOOKUP(E146,$B$113:$E$134,4,0)</f>
        <v>4054</v>
      </c>
      <c r="I146" s="88">
        <f>F146*(G146/10)^2*0.617*H146/1000</f>
        <v>85.044812000000007</v>
      </c>
      <c r="J146" s="189"/>
      <c r="K146" s="189"/>
      <c r="L146" s="189"/>
      <c r="M146" s="189"/>
      <c r="N146" s="189"/>
    </row>
    <row r="147" spans="2:14" x14ac:dyDescent="0.15">
      <c r="B147" s="189"/>
      <c r="C147" s="189"/>
      <c r="D147" s="189"/>
      <c r="E147" s="93">
        <v>5</v>
      </c>
      <c r="F147" s="93">
        <f>IF(D145/VLOOKUP(E147,$B$113:$E$134,3,0)=0,D145/VLOOKUP(E147,$B$113:$E$134,3,0),INT(D145/VLOOKUP(E147,$B$113:$E$134,3,0))+1)</f>
        <v>34</v>
      </c>
      <c r="G147" s="93">
        <f t="shared" ref="G147:G150" si="67">VLOOKUP(E147,$B$113:$E$134,2,0)</f>
        <v>12</v>
      </c>
      <c r="H147" s="93">
        <f t="shared" si="66"/>
        <v>1430</v>
      </c>
      <c r="I147" s="88">
        <f t="shared" ref="I147:I148" si="68">F147*(G147/10)^2*0.617*H147/1000</f>
        <v>43.197897600000005</v>
      </c>
      <c r="J147" s="189"/>
      <c r="K147" s="189"/>
      <c r="L147" s="189"/>
      <c r="M147" s="189"/>
      <c r="N147" s="189"/>
    </row>
    <row r="148" spans="2:14" x14ac:dyDescent="0.15">
      <c r="B148" s="189"/>
      <c r="C148" s="189"/>
      <c r="D148" s="189">
        <v>3600</v>
      </c>
      <c r="E148" s="93">
        <v>6</v>
      </c>
      <c r="F148" s="93">
        <f>IF(D148/VLOOKUP(E148,$B$113:$E$134,3,0)=0,D148/VLOOKUP(E148,$B$113:$E$134,3,0),INT(D148/VLOOKUP(E148,$B$113:$E$134,3,0))+1)</f>
        <v>19</v>
      </c>
      <c r="G148" s="93">
        <f t="shared" si="67"/>
        <v>8</v>
      </c>
      <c r="H148" s="93">
        <f t="shared" si="66"/>
        <v>1530</v>
      </c>
      <c r="I148" s="88">
        <f t="shared" si="68"/>
        <v>11.479161600000001</v>
      </c>
      <c r="J148" s="189"/>
      <c r="K148" s="189"/>
      <c r="L148" s="189"/>
      <c r="M148" s="189"/>
      <c r="N148" s="189"/>
    </row>
    <row r="149" spans="2:14" x14ac:dyDescent="0.15">
      <c r="B149" s="189"/>
      <c r="C149" s="189"/>
      <c r="D149" s="189"/>
      <c r="E149" s="93">
        <v>2</v>
      </c>
      <c r="F149" s="93">
        <f>IF(D148/VLOOKUP(E149,$B$113:$E$134,3,0)=0,D148/VLOOKUP(E149,$B$113:$E$134,3,0),INT(D148/VLOOKUP(E149,$B$113:$E$134,3,0))+1)</f>
        <v>25</v>
      </c>
      <c r="G149" s="93">
        <f t="shared" si="67"/>
        <v>8</v>
      </c>
      <c r="H149" s="93">
        <f t="shared" si="66"/>
        <v>7049</v>
      </c>
      <c r="I149" s="88">
        <f>F149*(G149/10)^2*0.617*H149/1000</f>
        <v>69.587728000000013</v>
      </c>
      <c r="J149" s="189"/>
      <c r="K149" s="189"/>
      <c r="L149" s="189"/>
      <c r="M149" s="189"/>
      <c r="N149" s="189"/>
    </row>
    <row r="150" spans="2:14" x14ac:dyDescent="0.15">
      <c r="B150" s="189"/>
      <c r="C150" s="189"/>
      <c r="D150" s="189"/>
      <c r="E150" s="93">
        <v>4</v>
      </c>
      <c r="F150" s="93">
        <f>IF(D148/VLOOKUP(E150,$B$113:$E$134,3,0)=0,D148/VLOOKUP(E150,$B$113:$E$134,3,0),INT(D148/VLOOKUP(E150,$B$113:$E$134,3,0))+1)</f>
        <v>37</v>
      </c>
      <c r="G150" s="93">
        <f t="shared" si="67"/>
        <v>8</v>
      </c>
      <c r="H150" s="93">
        <f t="shared" si="66"/>
        <v>1430</v>
      </c>
      <c r="I150" s="88">
        <f t="shared" ref="I150" si="69">F150*(G150/10)^2*0.617*H150/1000</f>
        <v>20.893100799999999</v>
      </c>
      <c r="J150" s="189"/>
      <c r="K150" s="189"/>
      <c r="L150" s="189"/>
      <c r="M150" s="189"/>
      <c r="N150" s="189"/>
    </row>
    <row r="151" spans="2:14" x14ac:dyDescent="0.15">
      <c r="B151" s="189">
        <v>3</v>
      </c>
      <c r="C151" s="189">
        <v>1</v>
      </c>
      <c r="D151" s="189">
        <v>6600</v>
      </c>
      <c r="E151" s="93">
        <v>9</v>
      </c>
      <c r="F151" s="93">
        <f>IF(D151/VLOOKUP(E151,$B$113:$E$134,3,0)=0,D151/VLOOKUP(E151,$B$113:$E$134,3,0),INT(D151/VLOOKUP(E151,$B$113:$E$134,3,0))+1)</f>
        <v>34</v>
      </c>
      <c r="G151" s="93">
        <f>VLOOKUP(E151,$B$113:$E$134,2,0)</f>
        <v>10</v>
      </c>
      <c r="H151" s="93">
        <f>VLOOKUP(E151,$B$113:$E$134,4,0)</f>
        <v>1434</v>
      </c>
      <c r="I151" s="88">
        <f>F151*(G151/10)^2*0.617*H151/1000</f>
        <v>30.082452</v>
      </c>
      <c r="J151" s="189">
        <f t="shared" ref="J151" si="70">SUM(I151:I156)</f>
        <v>411.46755139999999</v>
      </c>
      <c r="K151" s="189">
        <f>PRODUCT(D151:D156)/10^6</f>
        <v>23.76</v>
      </c>
      <c r="L151" s="189">
        <f>K151*$L$137</f>
        <v>2.8512</v>
      </c>
      <c r="M151" s="189"/>
      <c r="N151" s="189">
        <v>1</v>
      </c>
    </row>
    <row r="152" spans="2:14" x14ac:dyDescent="0.15">
      <c r="B152" s="189"/>
      <c r="C152" s="189"/>
      <c r="D152" s="189"/>
      <c r="E152" s="93">
        <v>7</v>
      </c>
      <c r="F152" s="93">
        <f>IF(D151/VLOOKUP(E152,$B$113:$E$134,3,0)=0,D151/VLOOKUP(E152,$B$113:$E$134,3,0),INT(D151/VLOOKUP(E152,$B$113:$E$134,3,0))+1)</f>
        <v>45</v>
      </c>
      <c r="G152" s="93">
        <f>VLOOKUP(E152,$B$113:$E$134,2,0)</f>
        <v>12</v>
      </c>
      <c r="H152" s="93">
        <f t="shared" ref="H152:H156" si="71">VLOOKUP(E152,$B$113:$E$134,4,0)</f>
        <v>4000</v>
      </c>
      <c r="I152" s="88">
        <f>F152*(G152/10)^2*0.617*H152/1000</f>
        <v>159.9264</v>
      </c>
      <c r="J152" s="189"/>
      <c r="K152" s="189"/>
      <c r="L152" s="189"/>
      <c r="M152" s="189"/>
      <c r="N152" s="189"/>
    </row>
    <row r="153" spans="2:14" x14ac:dyDescent="0.15">
      <c r="B153" s="189"/>
      <c r="C153" s="189"/>
      <c r="D153" s="189"/>
      <c r="E153" s="93">
        <v>11</v>
      </c>
      <c r="F153" s="93">
        <f>IF(D151/VLOOKUP(E153,$B$113:$E$134,3,0)=0,D151/VLOOKUP(E153,$B$113:$E$134,3,0),INT(D151/VLOOKUP(E153,$B$113:$E$134,3,0))+1)</f>
        <v>67</v>
      </c>
      <c r="G153" s="93">
        <f t="shared" ref="G153:G156" si="72">VLOOKUP(E153,$B$113:$E$134,2,0)</f>
        <v>14</v>
      </c>
      <c r="H153" s="93">
        <f t="shared" si="71"/>
        <v>1430</v>
      </c>
      <c r="I153" s="88">
        <f t="shared" ref="I153:I154" si="73">F153*(G153/10)^2*0.617*H153/1000</f>
        <v>115.8649492</v>
      </c>
      <c r="J153" s="189"/>
      <c r="K153" s="189"/>
      <c r="L153" s="189"/>
      <c r="M153" s="189"/>
      <c r="N153" s="189"/>
    </row>
    <row r="154" spans="2:14" x14ac:dyDescent="0.15">
      <c r="B154" s="189"/>
      <c r="C154" s="189"/>
      <c r="D154" s="189">
        <v>3600</v>
      </c>
      <c r="E154" s="93">
        <v>6</v>
      </c>
      <c r="F154" s="93">
        <f>IF(D154/VLOOKUP(E154,$B$113:$E$134,3,0)=0,D154/VLOOKUP(E154,$B$113:$E$134,3,0),INT(D154/VLOOKUP(E154,$B$113:$E$134,3,0))+1)</f>
        <v>19</v>
      </c>
      <c r="G154" s="93">
        <f t="shared" si="72"/>
        <v>8</v>
      </c>
      <c r="H154" s="93">
        <f t="shared" si="71"/>
        <v>1530</v>
      </c>
      <c r="I154" s="88">
        <f t="shared" si="73"/>
        <v>11.479161600000001</v>
      </c>
      <c r="J154" s="189"/>
      <c r="K154" s="189"/>
      <c r="L154" s="189"/>
      <c r="M154" s="189"/>
      <c r="N154" s="189"/>
    </row>
    <row r="155" spans="2:14" x14ac:dyDescent="0.15">
      <c r="B155" s="189"/>
      <c r="C155" s="189"/>
      <c r="D155" s="189"/>
      <c r="E155" s="93">
        <v>8</v>
      </c>
      <c r="F155" s="93">
        <f>IF(D154/VLOOKUP(E155,$B$113:$E$134,3,0)=0,D154/VLOOKUP(E155,$B$113:$E$134,3,0),INT(D154/VLOOKUP(E155,$B$113:$E$134,3,0))+1)</f>
        <v>19</v>
      </c>
      <c r="G155" s="93">
        <f t="shared" si="72"/>
        <v>10</v>
      </c>
      <c r="H155" s="93">
        <f t="shared" si="71"/>
        <v>7049</v>
      </c>
      <c r="I155" s="88">
        <f>F155*(G155/10)^2*0.617*H155/1000</f>
        <v>82.635426999999993</v>
      </c>
      <c r="J155" s="189"/>
      <c r="K155" s="189"/>
      <c r="L155" s="189"/>
      <c r="M155" s="189"/>
      <c r="N155" s="189"/>
    </row>
    <row r="156" spans="2:14" x14ac:dyDescent="0.15">
      <c r="B156" s="189"/>
      <c r="C156" s="189"/>
      <c r="D156" s="189"/>
      <c r="E156" s="93">
        <v>6</v>
      </c>
      <c r="F156" s="93">
        <f>IF(D154/VLOOKUP(E156,$B$113:$E$134,3,0)=0,D154/VLOOKUP(E156,$B$113:$E$134,3,0),INT(D154/VLOOKUP(E156,$B$113:$E$134,3,0))+1)</f>
        <v>19</v>
      </c>
      <c r="G156" s="93">
        <f t="shared" si="72"/>
        <v>8</v>
      </c>
      <c r="H156" s="93">
        <f t="shared" si="71"/>
        <v>1530</v>
      </c>
      <c r="I156" s="88">
        <f t="shared" ref="I156" si="74">F156*(G156/10)^2*0.617*H156/1000</f>
        <v>11.479161600000001</v>
      </c>
      <c r="J156" s="189"/>
      <c r="K156" s="189"/>
      <c r="L156" s="189"/>
      <c r="M156" s="189"/>
      <c r="N156" s="189"/>
    </row>
    <row r="157" spans="2:14" x14ac:dyDescent="0.15">
      <c r="B157" s="189">
        <v>4</v>
      </c>
      <c r="C157" s="189">
        <v>1</v>
      </c>
      <c r="D157" s="189">
        <v>6600</v>
      </c>
      <c r="E157" s="93">
        <v>11</v>
      </c>
      <c r="F157" s="93">
        <f>IF(D157/VLOOKUP(E157,$B$113:$E$134,3,0)=0,D157/VLOOKUP(E157,$B$113:$E$134,3,0),INT(D157/VLOOKUP(E157,$B$113:$E$134,3,0))+1)</f>
        <v>67</v>
      </c>
      <c r="G157" s="93">
        <f>VLOOKUP(E157,$B$113:$E$134,2,0)</f>
        <v>14</v>
      </c>
      <c r="H157" s="93">
        <f>VLOOKUP(E157,$B$113:$E$134,4,0)</f>
        <v>1430</v>
      </c>
      <c r="I157" s="88">
        <f>F157*(G157/10)^2*0.617*H157/1000</f>
        <v>115.8649492</v>
      </c>
      <c r="J157" s="189">
        <f t="shared" ref="J157" si="75">SUM(I157:I162)</f>
        <v>411.2676434</v>
      </c>
      <c r="K157" s="189">
        <f>PRODUCT(D157:D162)/10^6</f>
        <v>23.76</v>
      </c>
      <c r="L157" s="189">
        <f>K157*$L$137</f>
        <v>2.8512</v>
      </c>
      <c r="M157" s="189"/>
      <c r="N157" s="189">
        <v>1</v>
      </c>
    </row>
    <row r="158" spans="2:14" x14ac:dyDescent="0.15">
      <c r="B158" s="189"/>
      <c r="C158" s="189"/>
      <c r="D158" s="189"/>
      <c r="E158" s="93">
        <v>12</v>
      </c>
      <c r="F158" s="93">
        <f>IF(D157/VLOOKUP(E158,$B$113:$E$134,3,0)=0,D157/VLOOKUP(E158,$B$113:$E$134,3,0),INT(D157/VLOOKUP(E158,$B$113:$E$134,3,0))+1)</f>
        <v>45</v>
      </c>
      <c r="G158" s="93">
        <f>VLOOKUP(E158,$B$113:$E$134,2,0)</f>
        <v>12</v>
      </c>
      <c r="H158" s="93">
        <f t="shared" ref="H158:H162" si="76">VLOOKUP(E158,$B$113:$E$134,4,0)</f>
        <v>3995</v>
      </c>
      <c r="I158" s="88">
        <f>F158*(G158/10)^2*0.617*H158/1000</f>
        <v>159.72649200000001</v>
      </c>
      <c r="J158" s="189"/>
      <c r="K158" s="189"/>
      <c r="L158" s="189"/>
      <c r="M158" s="189"/>
      <c r="N158" s="189"/>
    </row>
    <row r="159" spans="2:14" x14ac:dyDescent="0.15">
      <c r="B159" s="189"/>
      <c r="C159" s="189"/>
      <c r="D159" s="189"/>
      <c r="E159" s="93">
        <v>9</v>
      </c>
      <c r="F159" s="93">
        <f>IF(D157/VLOOKUP(E159,$B$113:$E$134,3,0)=0,D157/VLOOKUP(E159,$B$113:$E$134,3,0),INT(D157/VLOOKUP(E159,$B$113:$E$134,3,0))+1)</f>
        <v>34</v>
      </c>
      <c r="G159" s="93">
        <f t="shared" ref="G159:G162" si="77">VLOOKUP(E159,$B$113:$E$134,2,0)</f>
        <v>10</v>
      </c>
      <c r="H159" s="93">
        <f t="shared" si="76"/>
        <v>1434</v>
      </c>
      <c r="I159" s="88">
        <f t="shared" ref="I159:I160" si="78">F159*(G159/10)^2*0.617*H159/1000</f>
        <v>30.082452</v>
      </c>
      <c r="J159" s="189"/>
      <c r="K159" s="189"/>
      <c r="L159" s="189"/>
      <c r="M159" s="189"/>
      <c r="N159" s="189"/>
    </row>
    <row r="160" spans="2:14" x14ac:dyDescent="0.15">
      <c r="B160" s="189"/>
      <c r="C160" s="189"/>
      <c r="D160" s="189">
        <v>3600</v>
      </c>
      <c r="E160" s="93">
        <v>6</v>
      </c>
      <c r="F160" s="93">
        <f>IF(D160/VLOOKUP(E160,$B$113:$E$134,3,0)=0,D160/VLOOKUP(E160,$B$113:$E$134,3,0),INT(D160/VLOOKUP(E160,$B$113:$E$134,3,0))+1)</f>
        <v>19</v>
      </c>
      <c r="G160" s="93">
        <f t="shared" si="77"/>
        <v>8</v>
      </c>
      <c r="H160" s="93">
        <f t="shared" si="76"/>
        <v>1530</v>
      </c>
      <c r="I160" s="88">
        <f t="shared" si="78"/>
        <v>11.479161600000001</v>
      </c>
      <c r="J160" s="189"/>
      <c r="K160" s="189"/>
      <c r="L160" s="189"/>
      <c r="M160" s="189"/>
      <c r="N160" s="189"/>
    </row>
    <row r="161" spans="2:14" x14ac:dyDescent="0.15">
      <c r="B161" s="189"/>
      <c r="C161" s="189"/>
      <c r="D161" s="189"/>
      <c r="E161" s="93">
        <v>8</v>
      </c>
      <c r="F161" s="93">
        <f>IF(D160/VLOOKUP(E161,$B$113:$E$134,3,0)=0,D160/VLOOKUP(E161,$B$113:$E$134,3,0),INT(D160/VLOOKUP(E161,$B$113:$E$134,3,0))+1)</f>
        <v>19</v>
      </c>
      <c r="G161" s="93">
        <f t="shared" si="77"/>
        <v>10</v>
      </c>
      <c r="H161" s="93">
        <f t="shared" si="76"/>
        <v>7049</v>
      </c>
      <c r="I161" s="88">
        <f>F161*(G161/10)^2*0.617*H161/1000</f>
        <v>82.635426999999993</v>
      </c>
      <c r="J161" s="189"/>
      <c r="K161" s="189"/>
      <c r="L161" s="189"/>
      <c r="M161" s="189"/>
      <c r="N161" s="189"/>
    </row>
    <row r="162" spans="2:14" x14ac:dyDescent="0.15">
      <c r="B162" s="189"/>
      <c r="C162" s="189"/>
      <c r="D162" s="189"/>
      <c r="E162" s="93">
        <v>6</v>
      </c>
      <c r="F162" s="93">
        <f>IF(D160/VLOOKUP(E162,$B$113:$E$134,3,0)=0,D160/VLOOKUP(E162,$B$113:$E$134,3,0),INT(D160/VLOOKUP(E162,$B$113:$E$134,3,0))+1)</f>
        <v>19</v>
      </c>
      <c r="G162" s="93">
        <f t="shared" si="77"/>
        <v>8</v>
      </c>
      <c r="H162" s="93">
        <f t="shared" si="76"/>
        <v>1530</v>
      </c>
      <c r="I162" s="88">
        <f t="shared" ref="I162" si="79">F162*(G162/10)^2*0.617*H162/1000</f>
        <v>11.479161600000001</v>
      </c>
      <c r="J162" s="189"/>
      <c r="K162" s="189"/>
      <c r="L162" s="189"/>
      <c r="M162" s="189"/>
      <c r="N162" s="189"/>
    </row>
    <row r="163" spans="2:14" x14ac:dyDescent="0.15">
      <c r="B163" s="189">
        <v>5</v>
      </c>
      <c r="C163" s="189">
        <v>1</v>
      </c>
      <c r="D163" s="189">
        <v>6600</v>
      </c>
      <c r="E163" s="93">
        <v>20</v>
      </c>
      <c r="F163" s="93">
        <f>IF(D163/VLOOKUP(E163,$B$113:$E$134,3,0)=0,D163/VLOOKUP(E163,$B$113:$E$134,3,0),INT(D163/VLOOKUP(E163,$B$113:$E$134,3,0))+1)</f>
        <v>45</v>
      </c>
      <c r="G163" s="93">
        <f>VLOOKUP(E163,$B$113:$E$134,2,0)</f>
        <v>12</v>
      </c>
      <c r="H163" s="93">
        <f>VLOOKUP(E163,$B$113:$E$134,4,0)</f>
        <v>1430</v>
      </c>
      <c r="I163" s="88">
        <f>F163*(G163/10)^2*0.617*H163/1000</f>
        <v>57.173687999999999</v>
      </c>
      <c r="J163" s="189">
        <f t="shared" ref="J163" si="80">SUM(I163:I168)</f>
        <v>288.17942584000002</v>
      </c>
      <c r="K163" s="189">
        <f>PRODUCT(D163:D168)/10^6</f>
        <v>23.76</v>
      </c>
      <c r="L163" s="189">
        <f>K163*$L$137</f>
        <v>2.8512</v>
      </c>
      <c r="M163" s="189"/>
      <c r="N163" s="189">
        <v>1</v>
      </c>
    </row>
    <row r="164" spans="2:14" x14ac:dyDescent="0.15">
      <c r="B164" s="189"/>
      <c r="C164" s="189"/>
      <c r="D164" s="189"/>
      <c r="E164" s="93">
        <v>22</v>
      </c>
      <c r="F164" s="93">
        <f>IF(D163/VLOOKUP(E164,$B$113:$E$134,3,0)=0,D163/VLOOKUP(E164,$B$113:$E$134,3,0),INT(D163/VLOOKUP(E164,$B$113:$E$134,3,0))+1)</f>
        <v>67</v>
      </c>
      <c r="G164" s="93">
        <f>VLOOKUP(E164,$B$113:$E$134,2,0)</f>
        <v>8</v>
      </c>
      <c r="H164" s="93">
        <f t="shared" ref="H164:H168" si="81">VLOOKUP(E164,$B$113:$E$134,4,0)</f>
        <v>4059</v>
      </c>
      <c r="I164" s="88">
        <f>F164*(G164/10)^2*0.617*H164/1000</f>
        <v>107.38880064000003</v>
      </c>
      <c r="J164" s="189"/>
      <c r="K164" s="189"/>
      <c r="L164" s="189"/>
      <c r="M164" s="189"/>
      <c r="N164" s="189"/>
    </row>
    <row r="165" spans="2:14" x14ac:dyDescent="0.15">
      <c r="B165" s="189"/>
      <c r="C165" s="189"/>
      <c r="D165" s="189"/>
      <c r="E165" s="93">
        <v>6</v>
      </c>
      <c r="F165" s="93">
        <f>IF(D163/VLOOKUP(E165,$B$113:$E$134,3,0)=0,D163/VLOOKUP(E165,$B$113:$E$134,3,0),INT(D163/VLOOKUP(E165,$B$113:$E$134,3,0))+1)</f>
        <v>34</v>
      </c>
      <c r="G165" s="93">
        <f t="shared" ref="G165:G168" si="82">VLOOKUP(E165,$B$113:$E$134,2,0)</f>
        <v>8</v>
      </c>
      <c r="H165" s="93">
        <f t="shared" si="81"/>
        <v>1530</v>
      </c>
      <c r="I165" s="88">
        <f t="shared" ref="I165:I166" si="83">F165*(G165/10)^2*0.617*H165/1000</f>
        <v>20.541657600000004</v>
      </c>
      <c r="J165" s="189"/>
      <c r="K165" s="189"/>
      <c r="L165" s="189"/>
      <c r="M165" s="189"/>
      <c r="N165" s="189"/>
    </row>
    <row r="166" spans="2:14" x14ac:dyDescent="0.15">
      <c r="B166" s="189"/>
      <c r="C166" s="189"/>
      <c r="D166" s="189">
        <v>3600</v>
      </c>
      <c r="E166" s="93">
        <v>16</v>
      </c>
      <c r="F166" s="93">
        <f>IF(D166/VLOOKUP(E166,$B$113:$E$134,3,0)=0,D166/VLOOKUP(E166,$B$113:$E$134,3,0),INT(D166/VLOOKUP(E166,$B$113:$E$134,3,0))+1)</f>
        <v>29</v>
      </c>
      <c r="G166" s="93">
        <f t="shared" si="82"/>
        <v>10</v>
      </c>
      <c r="H166" s="93">
        <f t="shared" si="81"/>
        <v>1230</v>
      </c>
      <c r="I166" s="88">
        <f t="shared" si="83"/>
        <v>22.008389999999999</v>
      </c>
      <c r="J166" s="189"/>
      <c r="K166" s="189"/>
      <c r="L166" s="189"/>
      <c r="M166" s="189"/>
      <c r="N166" s="189"/>
    </row>
    <row r="167" spans="2:14" x14ac:dyDescent="0.15">
      <c r="B167" s="189"/>
      <c r="C167" s="189"/>
      <c r="D167" s="189"/>
      <c r="E167" s="93">
        <v>2</v>
      </c>
      <c r="F167" s="93">
        <f>IF(D166/VLOOKUP(E167,$B$113:$E$134,3,0)=0,D166/VLOOKUP(E167,$B$113:$E$134,3,0),INT(D166/VLOOKUP(E167,$B$113:$E$134,3,0))+1)</f>
        <v>25</v>
      </c>
      <c r="G167" s="93">
        <f t="shared" si="82"/>
        <v>8</v>
      </c>
      <c r="H167" s="93">
        <f t="shared" si="81"/>
        <v>7049</v>
      </c>
      <c r="I167" s="88">
        <f>F167*(G167/10)^2*0.617*H167/1000</f>
        <v>69.587728000000013</v>
      </c>
      <c r="J167" s="189"/>
      <c r="K167" s="189"/>
      <c r="L167" s="189"/>
      <c r="M167" s="189"/>
      <c r="N167" s="189"/>
    </row>
    <row r="168" spans="2:14" x14ac:dyDescent="0.15">
      <c r="B168" s="189"/>
      <c r="C168" s="189"/>
      <c r="D168" s="189"/>
      <c r="E168" s="93">
        <v>6</v>
      </c>
      <c r="F168" s="93">
        <f>IF(D166/VLOOKUP(E168,$B$113:$E$134,3,0)=0,D166/VLOOKUP(E168,$B$113:$E$134,3,0),INT(D166/VLOOKUP(E168,$B$113:$E$134,3,0))+1)</f>
        <v>19</v>
      </c>
      <c r="G168" s="93">
        <f t="shared" si="82"/>
        <v>8</v>
      </c>
      <c r="H168" s="93">
        <f t="shared" si="81"/>
        <v>1530</v>
      </c>
      <c r="I168" s="88">
        <f t="shared" ref="I168" si="84">F168*(G168/10)^2*0.617*H168/1000</f>
        <v>11.479161600000001</v>
      </c>
      <c r="J168" s="189"/>
      <c r="K168" s="189"/>
      <c r="L168" s="189"/>
      <c r="M168" s="189"/>
      <c r="N168" s="189"/>
    </row>
    <row r="169" spans="2:14" x14ac:dyDescent="0.15">
      <c r="B169" s="189">
        <v>6</v>
      </c>
      <c r="C169" s="189">
        <v>1</v>
      </c>
      <c r="D169" s="189">
        <v>6600</v>
      </c>
      <c r="E169" s="93">
        <v>5</v>
      </c>
      <c r="F169" s="93">
        <f>IF(D169/VLOOKUP(E169,$B$113:$E$134,3,0)=0,D169/VLOOKUP(E169,$B$113:$E$134,3,0),INT(D169/VLOOKUP(E169,$B$113:$E$134,3,0))+1)</f>
        <v>34</v>
      </c>
      <c r="G169" s="93">
        <f>VLOOKUP(E169,$B$113:$E$134,2,0)</f>
        <v>12</v>
      </c>
      <c r="H169" s="93">
        <f>VLOOKUP(E169,$B$113:$E$134,4,0)</f>
        <v>1430</v>
      </c>
      <c r="I169" s="88">
        <f>F169*(G169/10)^2*0.617*H169/1000</f>
        <v>43.197897600000005</v>
      </c>
      <c r="J169" s="189">
        <f t="shared" ref="J169" si="85">SUM(I169:I174)</f>
        <v>288.49167720000003</v>
      </c>
      <c r="K169" s="189">
        <f>PRODUCT(D169:D174)/10^6</f>
        <v>23.76</v>
      </c>
      <c r="L169" s="189">
        <f>K169*$L$137</f>
        <v>2.8512</v>
      </c>
      <c r="M169" s="189"/>
      <c r="N169" s="189">
        <v>1</v>
      </c>
    </row>
    <row r="170" spans="2:14" x14ac:dyDescent="0.15">
      <c r="B170" s="189"/>
      <c r="C170" s="189"/>
      <c r="D170" s="189"/>
      <c r="E170" s="93">
        <v>1</v>
      </c>
      <c r="F170" s="93">
        <f>IF(D169/VLOOKUP(E170,$B$113:$E$134,3,0)=0,D169/VLOOKUP(E170,$B$113:$E$134,3,0),INT(D169/VLOOKUP(E170,$B$113:$E$134,3,0))+1)</f>
        <v>34</v>
      </c>
      <c r="G170" s="93">
        <f>VLOOKUP(E170,$B$113:$E$134,2,0)</f>
        <v>10</v>
      </c>
      <c r="H170" s="93">
        <f t="shared" ref="H170:H174" si="86">VLOOKUP(E170,$B$113:$E$134,4,0)</f>
        <v>4054</v>
      </c>
      <c r="I170" s="88">
        <f>F170*(G170/10)^2*0.617*H170/1000</f>
        <v>85.044812000000007</v>
      </c>
      <c r="J170" s="189"/>
      <c r="K170" s="189"/>
      <c r="L170" s="189"/>
      <c r="M170" s="189"/>
      <c r="N170" s="189"/>
    </row>
    <row r="171" spans="2:14" x14ac:dyDescent="0.15">
      <c r="B171" s="189"/>
      <c r="C171" s="189"/>
      <c r="D171" s="189"/>
      <c r="E171" s="93">
        <v>20</v>
      </c>
      <c r="F171" s="93">
        <f>IF(D169/VLOOKUP(E171,$B$113:$E$134,3,0)=0,D169/VLOOKUP(E171,$B$113:$E$134,3,0),INT(D169/VLOOKUP(E171,$B$113:$E$134,3,0))+1)</f>
        <v>45</v>
      </c>
      <c r="G171" s="93">
        <f t="shared" ref="G171:G174" si="87">VLOOKUP(E171,$B$113:$E$134,2,0)</f>
        <v>12</v>
      </c>
      <c r="H171" s="93">
        <f t="shared" si="86"/>
        <v>1430</v>
      </c>
      <c r="I171" s="88">
        <f t="shared" ref="I171:I172" si="88">F171*(G171/10)^2*0.617*H171/1000</f>
        <v>57.173687999999999</v>
      </c>
      <c r="J171" s="189"/>
      <c r="K171" s="189"/>
      <c r="L171" s="189"/>
      <c r="M171" s="189"/>
      <c r="N171" s="189"/>
    </row>
    <row r="172" spans="2:14" x14ac:dyDescent="0.15">
      <c r="B172" s="189"/>
      <c r="C172" s="189"/>
      <c r="D172" s="189">
        <v>3600</v>
      </c>
      <c r="E172" s="93">
        <v>16</v>
      </c>
      <c r="F172" s="93">
        <f>IF(D172/VLOOKUP(E172,$B$113:$E$134,3,0)=0,D172/VLOOKUP(E172,$B$113:$E$134,3,0),INT(D172/VLOOKUP(E172,$B$113:$E$134,3,0))+1)</f>
        <v>29</v>
      </c>
      <c r="G172" s="93">
        <f t="shared" si="87"/>
        <v>10</v>
      </c>
      <c r="H172" s="93">
        <f t="shared" si="86"/>
        <v>1230</v>
      </c>
      <c r="I172" s="88">
        <f t="shared" si="88"/>
        <v>22.008389999999999</v>
      </c>
      <c r="J172" s="189"/>
      <c r="K172" s="189"/>
      <c r="L172" s="189"/>
      <c r="M172" s="189"/>
      <c r="N172" s="189"/>
    </row>
    <row r="173" spans="2:14" x14ac:dyDescent="0.15">
      <c r="B173" s="189"/>
      <c r="C173" s="189"/>
      <c r="D173" s="189"/>
      <c r="E173" s="93">
        <v>2</v>
      </c>
      <c r="F173" s="93">
        <f>IF(D172/VLOOKUP(E173,$B$113:$E$134,3,0)=0,D172/VLOOKUP(E173,$B$113:$E$134,3,0),INT(D172/VLOOKUP(E173,$B$113:$E$134,3,0))+1)</f>
        <v>25</v>
      </c>
      <c r="G173" s="93">
        <f t="shared" si="87"/>
        <v>8</v>
      </c>
      <c r="H173" s="93">
        <f t="shared" si="86"/>
        <v>7049</v>
      </c>
      <c r="I173" s="88">
        <f>F173*(G173/10)^2*0.617*H173/1000</f>
        <v>69.587728000000013</v>
      </c>
      <c r="J173" s="189"/>
      <c r="K173" s="189"/>
      <c r="L173" s="189"/>
      <c r="M173" s="189"/>
      <c r="N173" s="189"/>
    </row>
    <row r="174" spans="2:14" x14ac:dyDescent="0.15">
      <c r="B174" s="189"/>
      <c r="C174" s="189"/>
      <c r="D174" s="189"/>
      <c r="E174" s="93">
        <v>6</v>
      </c>
      <c r="F174" s="93">
        <f>IF(D172/VLOOKUP(E174,$B$113:$E$134,3,0)=0,D172/VLOOKUP(E174,$B$113:$E$134,3,0),INT(D172/VLOOKUP(E174,$B$113:$E$134,3,0))+1)</f>
        <v>19</v>
      </c>
      <c r="G174" s="93">
        <f t="shared" si="87"/>
        <v>8</v>
      </c>
      <c r="H174" s="93">
        <f t="shared" si="86"/>
        <v>1530</v>
      </c>
      <c r="I174" s="88">
        <f t="shared" ref="I174" si="89">F174*(G174/10)^2*0.617*H174/1000</f>
        <v>11.479161600000001</v>
      </c>
      <c r="J174" s="189"/>
      <c r="K174" s="189"/>
      <c r="L174" s="189"/>
      <c r="M174" s="189"/>
      <c r="N174" s="189"/>
    </row>
    <row r="175" spans="2:14" x14ac:dyDescent="0.15">
      <c r="B175" s="189">
        <v>7</v>
      </c>
      <c r="C175" s="189">
        <v>1</v>
      </c>
      <c r="D175" s="189">
        <v>6600</v>
      </c>
      <c r="E175" s="93">
        <v>20</v>
      </c>
      <c r="F175" s="93">
        <f>IF(D175/VLOOKUP(E175,$B$113:$E$134,3,0)=0,D175/VLOOKUP(E175,$B$113:$E$134,3,0),INT(D175/VLOOKUP(E175,$B$113:$E$134,3,0))+1)</f>
        <v>45</v>
      </c>
      <c r="G175" s="93">
        <f>VLOOKUP(E175,$B$113:$E$134,2,0)</f>
        <v>12</v>
      </c>
      <c r="H175" s="93">
        <f>VLOOKUP(E175,$B$113:$E$134,4,0)</f>
        <v>1430</v>
      </c>
      <c r="I175" s="88">
        <f>F175*(G175/10)^2*0.617*H175/1000</f>
        <v>57.173687999999999</v>
      </c>
      <c r="J175" s="189">
        <f t="shared" ref="J175" si="90">SUM(I175:I180)</f>
        <v>287.37638800000002</v>
      </c>
      <c r="K175" s="189">
        <f>PRODUCT(D175:D180)/10^6</f>
        <v>23.76</v>
      </c>
      <c r="L175" s="189">
        <f>K175*$L$137</f>
        <v>2.8512</v>
      </c>
      <c r="M175" s="189">
        <v>1</v>
      </c>
      <c r="N175" s="189"/>
    </row>
    <row r="176" spans="2:14" x14ac:dyDescent="0.15">
      <c r="B176" s="189"/>
      <c r="C176" s="189"/>
      <c r="D176" s="189"/>
      <c r="E176" s="93">
        <v>1</v>
      </c>
      <c r="F176" s="93">
        <f>IF(D175/VLOOKUP(E176,$B$113:$E$134,3,0)=0,D175/VLOOKUP(E176,$B$113:$E$134,3,0),INT(D175/VLOOKUP(E176,$B$113:$E$134,3,0))+1)</f>
        <v>34</v>
      </c>
      <c r="G176" s="93">
        <f>VLOOKUP(E176,$B$113:$E$134,2,0)</f>
        <v>10</v>
      </c>
      <c r="H176" s="93">
        <f t="shared" ref="H176:H180" si="91">VLOOKUP(E176,$B$113:$E$134,4,0)</f>
        <v>4054</v>
      </c>
      <c r="I176" s="88">
        <f>F176*(G176/10)^2*0.617*H176/1000</f>
        <v>85.044812000000007</v>
      </c>
      <c r="J176" s="189"/>
      <c r="K176" s="189"/>
      <c r="L176" s="189"/>
      <c r="M176" s="189"/>
      <c r="N176" s="189"/>
    </row>
    <row r="177" spans="2:14" x14ac:dyDescent="0.15">
      <c r="B177" s="189"/>
      <c r="C177" s="189"/>
      <c r="D177" s="189"/>
      <c r="E177" s="93">
        <v>5</v>
      </c>
      <c r="F177" s="93">
        <f>IF(D175/VLOOKUP(E177,$B$113:$E$134,3,0)=0,D175/VLOOKUP(E177,$B$113:$E$134,3,0),INT(D175/VLOOKUP(E177,$B$113:$E$134,3,0))+1)</f>
        <v>34</v>
      </c>
      <c r="G177" s="93">
        <f t="shared" ref="G177:G180" si="92">VLOOKUP(E177,$B$113:$E$134,2,0)</f>
        <v>12</v>
      </c>
      <c r="H177" s="93">
        <f t="shared" si="91"/>
        <v>1430</v>
      </c>
      <c r="I177" s="88">
        <f t="shared" ref="I177:I178" si="93">F177*(G177/10)^2*0.617*H177/1000</f>
        <v>43.197897600000005</v>
      </c>
      <c r="J177" s="189"/>
      <c r="K177" s="189"/>
      <c r="L177" s="189"/>
      <c r="M177" s="189"/>
      <c r="N177" s="189"/>
    </row>
    <row r="178" spans="2:14" x14ac:dyDescent="0.15">
      <c r="B178" s="189"/>
      <c r="C178" s="189"/>
      <c r="D178" s="189">
        <v>3600</v>
      </c>
      <c r="E178" s="93">
        <v>4</v>
      </c>
      <c r="F178" s="93">
        <f>IF(D178/VLOOKUP(E178,$B$113:$E$134,3,0)=0,D178/VLOOKUP(E178,$B$113:$E$134,3,0),INT(D178/VLOOKUP(E178,$B$113:$E$134,3,0))+1)</f>
        <v>37</v>
      </c>
      <c r="G178" s="93">
        <f t="shared" si="92"/>
        <v>8</v>
      </c>
      <c r="H178" s="93">
        <f t="shared" si="91"/>
        <v>1430</v>
      </c>
      <c r="I178" s="88">
        <f t="shared" si="93"/>
        <v>20.893100799999999</v>
      </c>
      <c r="J178" s="189"/>
      <c r="K178" s="189"/>
      <c r="L178" s="189"/>
      <c r="M178" s="189"/>
      <c r="N178" s="189"/>
    </row>
    <row r="179" spans="2:14" x14ac:dyDescent="0.15">
      <c r="B179" s="189"/>
      <c r="C179" s="189"/>
      <c r="D179" s="189"/>
      <c r="E179" s="93">
        <v>2</v>
      </c>
      <c r="F179" s="93">
        <f>IF(D178/VLOOKUP(E179,$B$113:$E$134,3,0)=0,D178/VLOOKUP(E179,$B$113:$E$134,3,0),INT(D178/VLOOKUP(E179,$B$113:$E$134,3,0))+1)</f>
        <v>25</v>
      </c>
      <c r="G179" s="93">
        <f t="shared" si="92"/>
        <v>8</v>
      </c>
      <c r="H179" s="93">
        <f t="shared" si="91"/>
        <v>7049</v>
      </c>
      <c r="I179" s="88">
        <f>F179*(G179/10)^2*0.617*H179/1000</f>
        <v>69.587728000000013</v>
      </c>
      <c r="J179" s="189"/>
      <c r="K179" s="189"/>
      <c r="L179" s="189"/>
      <c r="M179" s="189"/>
      <c r="N179" s="189"/>
    </row>
    <row r="180" spans="2:14" x14ac:dyDescent="0.15">
      <c r="B180" s="189"/>
      <c r="C180" s="189"/>
      <c r="D180" s="189"/>
      <c r="E180" s="93">
        <v>6</v>
      </c>
      <c r="F180" s="93">
        <f>IF(D178/VLOOKUP(E180,$B$113:$E$134,3,0)=0,D178/VLOOKUP(E180,$B$113:$E$134,3,0),INT(D178/VLOOKUP(E180,$B$113:$E$134,3,0))+1)</f>
        <v>19</v>
      </c>
      <c r="G180" s="93">
        <f t="shared" si="92"/>
        <v>8</v>
      </c>
      <c r="H180" s="93">
        <f t="shared" si="91"/>
        <v>1530</v>
      </c>
      <c r="I180" s="88">
        <f t="shared" ref="I180" si="94">F180*(G180/10)^2*0.617*H180/1000</f>
        <v>11.479161600000001</v>
      </c>
      <c r="J180" s="189"/>
      <c r="K180" s="189"/>
      <c r="L180" s="189"/>
      <c r="M180" s="189"/>
      <c r="N180" s="189"/>
    </row>
    <row r="181" spans="2:14" x14ac:dyDescent="0.15">
      <c r="B181" s="189">
        <v>8</v>
      </c>
      <c r="C181" s="189">
        <v>1</v>
      </c>
      <c r="D181" s="189">
        <v>6600</v>
      </c>
      <c r="E181" s="93">
        <v>6</v>
      </c>
      <c r="F181" s="93">
        <f>IF(D181/VLOOKUP(E181,$B$113:$E$134,3,0)=0,D181/VLOOKUP(E181,$B$113:$E$134,3,0),INT(D181/VLOOKUP(E181,$B$113:$E$134,3,0))+1)</f>
        <v>34</v>
      </c>
      <c r="G181" s="93">
        <f>VLOOKUP(E181,$B$113:$E$134,2,0)</f>
        <v>8</v>
      </c>
      <c r="H181" s="93">
        <f>VLOOKUP(E181,$B$113:$E$134,4,0)</f>
        <v>1530</v>
      </c>
      <c r="I181" s="88">
        <f>F181*(G181/10)^2*0.617*H181/1000</f>
        <v>20.541657600000004</v>
      </c>
      <c r="J181" s="189">
        <f t="shared" ref="J181" si="95">SUM(I181:I186)</f>
        <v>306.04853560000004</v>
      </c>
      <c r="K181" s="189">
        <f>PRODUCT(D181:D186)/10^6</f>
        <v>23.76</v>
      </c>
      <c r="L181" s="189">
        <f>K181*$L$137</f>
        <v>2.8512</v>
      </c>
      <c r="M181" s="189">
        <v>1</v>
      </c>
      <c r="N181" s="189"/>
    </row>
    <row r="182" spans="2:14" x14ac:dyDescent="0.15">
      <c r="B182" s="189"/>
      <c r="C182" s="189"/>
      <c r="D182" s="189"/>
      <c r="E182" s="93">
        <v>2</v>
      </c>
      <c r="F182" s="93">
        <f>IF(D181/VLOOKUP(E182,$B$113:$E$134,3,0)=0,D181/VLOOKUP(E182,$B$113:$E$134,3,0),INT(D181/VLOOKUP(E182,$B$113:$E$134,3,0))+1)</f>
        <v>45</v>
      </c>
      <c r="G182" s="93">
        <f>VLOOKUP(E182,$B$113:$E$134,2,0)</f>
        <v>8</v>
      </c>
      <c r="H182" s="93">
        <f t="shared" ref="H182:H186" si="96">VLOOKUP(E182,$B$113:$E$134,4,0)</f>
        <v>7049</v>
      </c>
      <c r="I182" s="88">
        <f>F182*(G182/10)^2*0.617*H182/1000</f>
        <v>125.25791040000003</v>
      </c>
      <c r="J182" s="189"/>
      <c r="K182" s="189"/>
      <c r="L182" s="189"/>
      <c r="M182" s="189"/>
      <c r="N182" s="189"/>
    </row>
    <row r="183" spans="2:14" x14ac:dyDescent="0.15">
      <c r="B183" s="189"/>
      <c r="C183" s="189"/>
      <c r="D183" s="189"/>
      <c r="E183" s="93">
        <v>20</v>
      </c>
      <c r="F183" s="93">
        <f>IF(D181/VLOOKUP(E183,$B$113:$E$134,3,0)=0,D181/VLOOKUP(E183,$B$113:$E$134,3,0),INT(D181/VLOOKUP(E183,$B$113:$E$134,3,0))+1)</f>
        <v>45</v>
      </c>
      <c r="G183" s="93">
        <f t="shared" ref="G183:G186" si="97">VLOOKUP(E183,$B$113:$E$134,2,0)</f>
        <v>12</v>
      </c>
      <c r="H183" s="93">
        <f t="shared" si="96"/>
        <v>1430</v>
      </c>
      <c r="I183" s="88">
        <f t="shared" ref="I183:I184" si="98">F183*(G183/10)^2*0.617*H183/1000</f>
        <v>57.173687999999999</v>
      </c>
      <c r="J183" s="189"/>
      <c r="K183" s="189"/>
      <c r="L183" s="189"/>
      <c r="M183" s="189"/>
      <c r="N183" s="189"/>
    </row>
    <row r="184" spans="2:14" x14ac:dyDescent="0.15">
      <c r="B184" s="189"/>
      <c r="C184" s="189"/>
      <c r="D184" s="189">
        <v>3600</v>
      </c>
      <c r="E184" s="93">
        <v>16</v>
      </c>
      <c r="F184" s="93">
        <f>IF(D184/VLOOKUP(E184,$B$113:$E$134,3,0)=0,D184/VLOOKUP(E184,$B$113:$E$134,3,0),INT(D184/VLOOKUP(E184,$B$113:$E$134,3,0))+1)</f>
        <v>29</v>
      </c>
      <c r="G184" s="93">
        <f t="shared" si="97"/>
        <v>10</v>
      </c>
      <c r="H184" s="93">
        <f t="shared" si="96"/>
        <v>1230</v>
      </c>
      <c r="I184" s="88">
        <f t="shared" si="98"/>
        <v>22.008389999999999</v>
      </c>
      <c r="J184" s="189"/>
      <c r="K184" s="189"/>
      <c r="L184" s="189"/>
      <c r="M184" s="189"/>
      <c r="N184" s="189"/>
    </row>
    <row r="185" spans="2:14" x14ac:dyDescent="0.15">
      <c r="B185" s="189"/>
      <c r="C185" s="189"/>
      <c r="D185" s="189"/>
      <c r="E185" s="93">
        <v>2</v>
      </c>
      <c r="F185" s="93">
        <f>IF(D184/VLOOKUP(E185,$B$113:$E$134,3,0)=0,D184/VLOOKUP(E185,$B$113:$E$134,3,0),INT(D184/VLOOKUP(E185,$B$113:$E$134,3,0))+1)</f>
        <v>25</v>
      </c>
      <c r="G185" s="93">
        <f t="shared" si="97"/>
        <v>8</v>
      </c>
      <c r="H185" s="93">
        <f t="shared" si="96"/>
        <v>7049</v>
      </c>
      <c r="I185" s="88">
        <f>F185*(G185/10)^2*0.617*H185/1000</f>
        <v>69.587728000000013</v>
      </c>
      <c r="J185" s="189"/>
      <c r="K185" s="189"/>
      <c r="L185" s="189"/>
      <c r="M185" s="189"/>
      <c r="N185" s="189"/>
    </row>
    <row r="186" spans="2:14" x14ac:dyDescent="0.15">
      <c r="B186" s="189"/>
      <c r="C186" s="189"/>
      <c r="D186" s="189"/>
      <c r="E186" s="93">
        <v>6</v>
      </c>
      <c r="F186" s="93">
        <f>IF(D184/VLOOKUP(E186,$B$113:$E$134,3,0)=0,D184/VLOOKUP(E186,$B$113:$E$134,3,0),INT(D184/VLOOKUP(E186,$B$113:$E$134,3,0))+1)</f>
        <v>19</v>
      </c>
      <c r="G186" s="93">
        <f t="shared" si="97"/>
        <v>8</v>
      </c>
      <c r="H186" s="93">
        <f t="shared" si="96"/>
        <v>1530</v>
      </c>
      <c r="I186" s="88">
        <f t="shared" ref="I186" si="99">F186*(G186/10)^2*0.617*H186/1000</f>
        <v>11.479161600000001</v>
      </c>
      <c r="J186" s="189"/>
      <c r="K186" s="189"/>
      <c r="L186" s="189"/>
      <c r="M186" s="189"/>
      <c r="N186" s="189"/>
    </row>
    <row r="187" spans="2:14" x14ac:dyDescent="0.15">
      <c r="B187" s="203">
        <v>9</v>
      </c>
      <c r="C187" s="203">
        <v>1</v>
      </c>
      <c r="D187" s="203">
        <v>2700</v>
      </c>
      <c r="E187" s="93">
        <v>17</v>
      </c>
      <c r="F187" s="93">
        <f>IF(D187/VLOOKUP(E187,$B$113:$E$134,3,0)=0,D187/VLOOKUP(E187,$B$113:$E$134,3,0),INT(D187/VLOOKUP(E187,$B$113:$E$134,3,0))+1)</f>
        <v>14</v>
      </c>
      <c r="G187" s="93">
        <f>VLOOKUP(E187,$B$113:$E$134,2,0)</f>
        <v>8</v>
      </c>
      <c r="H187" s="93">
        <f>VLOOKUP(E187,$B$113:$E$134,4,0)</f>
        <v>1350</v>
      </c>
      <c r="I187" s="88">
        <f>F187*(G187/10)^2*0.617*H187/1000</f>
        <v>7.4632320000000005</v>
      </c>
      <c r="J187" s="189">
        <f>SUM(I187:I194)</f>
        <v>322.13451535999997</v>
      </c>
      <c r="K187" s="203">
        <f>PRODUCT(D187:D194)/10^6</f>
        <v>19.440000000000001</v>
      </c>
      <c r="L187" s="203">
        <f>K187*$L$137</f>
        <v>2.3328000000000002</v>
      </c>
      <c r="M187" s="203">
        <v>1</v>
      </c>
      <c r="N187" s="203"/>
    </row>
    <row r="188" spans="2:14" x14ac:dyDescent="0.15">
      <c r="B188" s="201"/>
      <c r="C188" s="201"/>
      <c r="D188" s="201"/>
      <c r="E188" s="93">
        <v>13</v>
      </c>
      <c r="F188" s="93">
        <f>IF(D187/VLOOKUP(E188,$B$113:$E$134,3,0)=0,D187/VLOOKUP(E188,$B$113:$E$134,3,0),INT(D187/VLOOKUP(E188,$B$113:$E$134,3,0))+1)</f>
        <v>19</v>
      </c>
      <c r="G188" s="93">
        <f>VLOOKUP(E188,$B$113:$E$134,2,0)</f>
        <v>8</v>
      </c>
      <c r="H188" s="93">
        <f t="shared" ref="H188:H192" si="100">VLOOKUP(E188,$B$113:$E$134,4,0)</f>
        <v>7624</v>
      </c>
      <c r="I188" s="88">
        <f>F188*(G188/10)^2*0.617*H188/1000</f>
        <v>57.200737280000006</v>
      </c>
      <c r="J188" s="189"/>
      <c r="K188" s="201"/>
      <c r="L188" s="201"/>
      <c r="M188" s="201"/>
      <c r="N188" s="201"/>
    </row>
    <row r="189" spans="2:14" x14ac:dyDescent="0.15">
      <c r="B189" s="201"/>
      <c r="C189" s="201"/>
      <c r="D189" s="202"/>
      <c r="E189" s="93">
        <v>19</v>
      </c>
      <c r="F189" s="93">
        <f>IF(D187/VLOOKUP(E189,$B$113:$E$134,3,0)=0,D187/VLOOKUP(E189,$B$113:$E$134,3,0),INT(D187/VLOOKUP(E189,$B$113:$E$134,3,0))+1)</f>
        <v>19</v>
      </c>
      <c r="G189" s="93">
        <f t="shared" ref="G189:G192" si="101">VLOOKUP(E189,$B$113:$E$134,2,0)</f>
        <v>8</v>
      </c>
      <c r="H189" s="93">
        <f t="shared" si="100"/>
        <v>1030</v>
      </c>
      <c r="I189" s="88">
        <f t="shared" ref="I189:I190" si="102">F189*(G189/10)^2*0.617*H189/1000</f>
        <v>7.7278016000000003</v>
      </c>
      <c r="J189" s="189"/>
      <c r="K189" s="201"/>
      <c r="L189" s="201"/>
      <c r="M189" s="201"/>
      <c r="N189" s="201"/>
    </row>
    <row r="190" spans="2:14" x14ac:dyDescent="0.15">
      <c r="B190" s="201"/>
      <c r="C190" s="201"/>
      <c r="D190" s="203">
        <v>7200</v>
      </c>
      <c r="E190" s="93">
        <v>20</v>
      </c>
      <c r="F190" s="93">
        <f>IF(D190/VLOOKUP(E190,$B$113:$E$134,3,0)=0,D190/VLOOKUP(E190,$B$113:$E$134,3,0),INT(D190/VLOOKUP(E190,$B$113:$E$134,3,0))+1)</f>
        <v>49</v>
      </c>
      <c r="G190" s="93">
        <f t="shared" si="101"/>
        <v>12</v>
      </c>
      <c r="H190" s="93">
        <f t="shared" si="100"/>
        <v>1430</v>
      </c>
      <c r="I190" s="88">
        <f t="shared" si="102"/>
        <v>62.255793599999997</v>
      </c>
      <c r="J190" s="189"/>
      <c r="K190" s="201"/>
      <c r="L190" s="201"/>
      <c r="M190" s="201"/>
      <c r="N190" s="201"/>
    </row>
    <row r="191" spans="2:14" x14ac:dyDescent="0.15">
      <c r="B191" s="201"/>
      <c r="C191" s="201"/>
      <c r="D191" s="201"/>
      <c r="E191" s="93">
        <v>16</v>
      </c>
      <c r="F191" s="93">
        <f>IF(D190/VLOOKUP(E191,$B$113:$E$134,3,0)=0,D190/VLOOKUP(E191,$B$113:$E$134,3,0),INT(D190/VLOOKUP(E191,$B$113:$E$134,3,0))+1)</f>
        <v>58</v>
      </c>
      <c r="G191" s="93">
        <f t="shared" si="101"/>
        <v>10</v>
      </c>
      <c r="H191" s="93">
        <f t="shared" si="100"/>
        <v>1230</v>
      </c>
      <c r="I191" s="88">
        <f>F191*(G191/10)^2*0.617*H191/1000</f>
        <v>44.016779999999997</v>
      </c>
      <c r="J191" s="189"/>
      <c r="K191" s="201"/>
      <c r="L191" s="201"/>
      <c r="M191" s="201"/>
      <c r="N191" s="201"/>
    </row>
    <row r="192" spans="2:14" x14ac:dyDescent="0.15">
      <c r="B192" s="201"/>
      <c r="C192" s="201"/>
      <c r="D192" s="201"/>
      <c r="E192" s="93">
        <v>14</v>
      </c>
      <c r="F192" s="93">
        <f>IF(D190/VLOOKUP(E192,$B$113:$E$134,3,0)=0,D190/VLOOKUP(E192,$B$113:$E$134,3,0),INT(D190/VLOOKUP(E192,$B$113:$E$134,3,0))+1)</f>
        <v>49</v>
      </c>
      <c r="G192" s="93">
        <f t="shared" si="101"/>
        <v>8</v>
      </c>
      <c r="H192" s="93">
        <f t="shared" si="100"/>
        <v>3154</v>
      </c>
      <c r="I192" s="88">
        <f t="shared" ref="I192" si="103">F192*(G192/10)^2*0.617*H192/1000</f>
        <v>61.027124480000005</v>
      </c>
      <c r="J192" s="189"/>
      <c r="K192" s="201"/>
      <c r="L192" s="201"/>
      <c r="M192" s="201"/>
      <c r="N192" s="201"/>
    </row>
    <row r="193" spans="2:14" x14ac:dyDescent="0.15">
      <c r="B193" s="201"/>
      <c r="C193" s="201"/>
      <c r="D193" s="201"/>
      <c r="E193" s="93">
        <v>4</v>
      </c>
      <c r="F193" s="93">
        <f>IF(D190/VLOOKUP(E193,$B$113:$E$134,3,0)=0,D190/VLOOKUP(E193,$B$113:$E$134,3,0),INT(D190/VLOOKUP(E193,$B$113:$E$134,3,0))+1)</f>
        <v>73</v>
      </c>
      <c r="G193" s="93">
        <f t="shared" ref="G193:G194" si="104">VLOOKUP(E193,$B$113:$E$134,2,0)</f>
        <v>8</v>
      </c>
      <c r="H193" s="93">
        <f t="shared" ref="H193:H194" si="105">VLOOKUP(E193,$B$113:$E$134,4,0)</f>
        <v>1430</v>
      </c>
      <c r="I193" s="88">
        <f>F193*(G193/10)^2*0.617*H193/1000</f>
        <v>41.2215232</v>
      </c>
      <c r="J193" s="189"/>
      <c r="K193" s="201"/>
      <c r="L193" s="201"/>
      <c r="M193" s="201"/>
      <c r="N193" s="201"/>
    </row>
    <row r="194" spans="2:14" x14ac:dyDescent="0.15">
      <c r="B194" s="202"/>
      <c r="C194" s="202"/>
      <c r="D194" s="202"/>
      <c r="E194" s="93">
        <v>4</v>
      </c>
      <c r="F194" s="93">
        <f>IF(D190/VLOOKUP(E194,$B$113:$E$134,3,0)=0,D190/VLOOKUP(E194,$B$113:$E$134,3,0),INT(D190/VLOOKUP(E194,$B$113:$E$134,3,0))+1)</f>
        <v>73</v>
      </c>
      <c r="G194" s="93">
        <f t="shared" si="104"/>
        <v>8</v>
      </c>
      <c r="H194" s="93">
        <f t="shared" si="105"/>
        <v>1430</v>
      </c>
      <c r="I194" s="88">
        <f t="shared" ref="I194" si="106">F194*(G194/10)^2*0.617*H194/1000</f>
        <v>41.2215232</v>
      </c>
      <c r="J194" s="189"/>
      <c r="K194" s="202"/>
      <c r="L194" s="202"/>
      <c r="M194" s="202"/>
      <c r="N194" s="202"/>
    </row>
    <row r="195" spans="2:14" x14ac:dyDescent="0.15">
      <c r="B195" s="203">
        <v>10</v>
      </c>
      <c r="C195" s="203">
        <v>3</v>
      </c>
      <c r="D195" s="203">
        <v>2700</v>
      </c>
      <c r="E195" s="93">
        <v>19</v>
      </c>
      <c r="F195" s="93">
        <f>IF(D195/VLOOKUP(E195,$B$113:$E$134,3,0)=0,D195/VLOOKUP(E195,$B$113:$E$134,3,0),INT(D195/VLOOKUP(E195,$B$113:$E$134,3,0))+1)</f>
        <v>19</v>
      </c>
      <c r="G195" s="93">
        <f>VLOOKUP(E195,$B$113:$E$134,2,0)</f>
        <v>8</v>
      </c>
      <c r="H195" s="93">
        <f>VLOOKUP(E195,$B$113:$E$134,4,0)</f>
        <v>1030</v>
      </c>
      <c r="I195" s="88">
        <f>F195*(G195/10)^2*0.617*H195/1000</f>
        <v>7.7278016000000003</v>
      </c>
      <c r="J195" s="189">
        <f>SUM(I195:I202)</f>
        <v>298.79463936000002</v>
      </c>
      <c r="K195" s="203">
        <f>PRODUCT(D195:D202)/10^6</f>
        <v>19.440000000000001</v>
      </c>
      <c r="L195" s="203">
        <f>K195*$L$137</f>
        <v>2.3328000000000002</v>
      </c>
      <c r="M195" s="203">
        <v>2</v>
      </c>
      <c r="N195" s="203">
        <v>2</v>
      </c>
    </row>
    <row r="196" spans="2:14" x14ac:dyDescent="0.15">
      <c r="B196" s="201"/>
      <c r="C196" s="201"/>
      <c r="D196" s="201"/>
      <c r="E196" s="93">
        <v>18</v>
      </c>
      <c r="F196" s="93">
        <f>IF(D195/VLOOKUP(E196,$B$113:$E$134,3,0)=0,D195/VLOOKUP(E196,$B$113:$E$134,3,0),INT(D195/VLOOKUP(E196,$B$113:$E$134,3,0))+1)</f>
        <v>19</v>
      </c>
      <c r="G196" s="93">
        <f>VLOOKUP(E196,$B$113:$E$134,2,0)</f>
        <v>8</v>
      </c>
      <c r="H196" s="93">
        <f t="shared" ref="H196:H202" si="107">VLOOKUP(E196,$B$113:$E$134,4,0)</f>
        <v>7654</v>
      </c>
      <c r="I196" s="88">
        <f>F196*(G196/10)^2*0.617*H196/1000</f>
        <v>57.425818880000008</v>
      </c>
      <c r="J196" s="189"/>
      <c r="K196" s="201"/>
      <c r="L196" s="201"/>
      <c r="M196" s="201"/>
      <c r="N196" s="201"/>
    </row>
    <row r="197" spans="2:14" x14ac:dyDescent="0.15">
      <c r="B197" s="201"/>
      <c r="C197" s="201"/>
      <c r="D197" s="202"/>
      <c r="E197" s="93">
        <v>19</v>
      </c>
      <c r="F197" s="93">
        <f>IF(D195/VLOOKUP(E197,$B$113:$E$134,3,0)=0,D195/VLOOKUP(E197,$B$113:$E$134,3,0),INT(D195/VLOOKUP(E197,$B$113:$E$134,3,0))+1)</f>
        <v>19</v>
      </c>
      <c r="G197" s="93">
        <f t="shared" ref="G197:G202" si="108">VLOOKUP(E197,$B$113:$E$134,2,0)</f>
        <v>8</v>
      </c>
      <c r="H197" s="93">
        <f t="shared" si="107"/>
        <v>1030</v>
      </c>
      <c r="I197" s="88">
        <f t="shared" ref="I197:I198" si="109">F197*(G197/10)^2*0.617*H197/1000</f>
        <v>7.7278016000000003</v>
      </c>
      <c r="J197" s="189"/>
      <c r="K197" s="201"/>
      <c r="L197" s="201"/>
      <c r="M197" s="201"/>
      <c r="N197" s="201"/>
    </row>
    <row r="198" spans="2:14" x14ac:dyDescent="0.15">
      <c r="B198" s="201"/>
      <c r="C198" s="201"/>
      <c r="D198" s="203">
        <v>7200</v>
      </c>
      <c r="E198" s="93">
        <v>4</v>
      </c>
      <c r="F198" s="93">
        <f>IF(D198/VLOOKUP(E198,$B$113:$E$134,3,0)=0,D198/VLOOKUP(E198,$B$113:$E$134,3,0),INT(D198/VLOOKUP(E198,$B$113:$E$134,3,0))+1)</f>
        <v>73</v>
      </c>
      <c r="G198" s="93">
        <f t="shared" si="108"/>
        <v>8</v>
      </c>
      <c r="H198" s="93">
        <f t="shared" si="107"/>
        <v>1430</v>
      </c>
      <c r="I198" s="88">
        <f t="shared" si="109"/>
        <v>41.2215232</v>
      </c>
      <c r="J198" s="189"/>
      <c r="K198" s="201"/>
      <c r="L198" s="201"/>
      <c r="M198" s="201"/>
      <c r="N198" s="201"/>
    </row>
    <row r="199" spans="2:14" x14ac:dyDescent="0.15">
      <c r="B199" s="201"/>
      <c r="C199" s="201"/>
      <c r="D199" s="201"/>
      <c r="E199" s="93">
        <v>4</v>
      </c>
      <c r="F199" s="93">
        <f>IF(D198/VLOOKUP(E199,$B$113:$E$134,3,0)=0,D198/VLOOKUP(E199,$B$113:$E$134,3,0),INT(D198/VLOOKUP(E199,$B$113:$E$134,3,0))+1)</f>
        <v>73</v>
      </c>
      <c r="G199" s="93">
        <f t="shared" si="108"/>
        <v>8</v>
      </c>
      <c r="H199" s="93">
        <f t="shared" si="107"/>
        <v>1430</v>
      </c>
      <c r="I199" s="88">
        <f>F199*(G199/10)^2*0.617*H199/1000</f>
        <v>41.2215232</v>
      </c>
      <c r="J199" s="189"/>
      <c r="K199" s="201"/>
      <c r="L199" s="201"/>
      <c r="M199" s="201"/>
      <c r="N199" s="201"/>
    </row>
    <row r="200" spans="2:14" x14ac:dyDescent="0.15">
      <c r="B200" s="201"/>
      <c r="C200" s="201"/>
      <c r="D200" s="201"/>
      <c r="E200" s="93">
        <v>14</v>
      </c>
      <c r="F200" s="93">
        <f>IF(D198/VLOOKUP(E200,$B$113:$E$134,3,0)=0,D198/VLOOKUP(E200,$B$113:$E$134,3,0),INT(D198/VLOOKUP(E200,$B$113:$E$134,3,0))+1)</f>
        <v>49</v>
      </c>
      <c r="G200" s="93">
        <f t="shared" si="108"/>
        <v>8</v>
      </c>
      <c r="H200" s="93">
        <f t="shared" si="107"/>
        <v>3154</v>
      </c>
      <c r="I200" s="88">
        <f t="shared" ref="I200" si="110">F200*(G200/10)^2*0.617*H200/1000</f>
        <v>61.027124480000005</v>
      </c>
      <c r="J200" s="189"/>
      <c r="K200" s="201"/>
      <c r="L200" s="201"/>
      <c r="M200" s="201"/>
      <c r="N200" s="201"/>
    </row>
    <row r="201" spans="2:14" x14ac:dyDescent="0.15">
      <c r="B201" s="201"/>
      <c r="C201" s="201"/>
      <c r="D201" s="201"/>
      <c r="E201" s="93">
        <v>4</v>
      </c>
      <c r="F201" s="93">
        <f>IF(D198/VLOOKUP(E201,$B$113:$E$134,3,0)=0,D198/VLOOKUP(E201,$B$113:$E$134,3,0),INT(D198/VLOOKUP(E201,$B$113:$E$134,3,0))+1)</f>
        <v>73</v>
      </c>
      <c r="G201" s="93">
        <f t="shared" si="108"/>
        <v>8</v>
      </c>
      <c r="H201" s="93">
        <f t="shared" si="107"/>
        <v>1430</v>
      </c>
      <c r="I201" s="88">
        <f>F201*(G201/10)^2*0.617*H201/1000</f>
        <v>41.2215232</v>
      </c>
      <c r="J201" s="189"/>
      <c r="K201" s="201"/>
      <c r="L201" s="201"/>
      <c r="M201" s="201"/>
      <c r="N201" s="201"/>
    </row>
    <row r="202" spans="2:14" x14ac:dyDescent="0.15">
      <c r="B202" s="202"/>
      <c r="C202" s="202"/>
      <c r="D202" s="202"/>
      <c r="E202" s="93">
        <v>4</v>
      </c>
      <c r="F202" s="93">
        <f>IF(D198/VLOOKUP(E202,$B$113:$E$134,3,0)=0,D198/VLOOKUP(E202,$B$113:$E$134,3,0),INT(D198/VLOOKUP(E202,$B$113:$E$134,3,0))+1)</f>
        <v>73</v>
      </c>
      <c r="G202" s="93">
        <f t="shared" si="108"/>
        <v>8</v>
      </c>
      <c r="H202" s="93">
        <f t="shared" si="107"/>
        <v>1430</v>
      </c>
      <c r="I202" s="88">
        <f t="shared" ref="I202" si="111">F202*(G202/10)^2*0.617*H202/1000</f>
        <v>41.2215232</v>
      </c>
      <c r="J202" s="189"/>
      <c r="K202" s="202"/>
      <c r="L202" s="202"/>
      <c r="M202" s="202"/>
      <c r="N202" s="202"/>
    </row>
    <row r="203" spans="2:14" x14ac:dyDescent="0.15">
      <c r="B203" s="203">
        <v>11</v>
      </c>
      <c r="C203" s="203">
        <v>1</v>
      </c>
      <c r="D203" s="203">
        <v>2700</v>
      </c>
      <c r="E203" s="93">
        <v>19</v>
      </c>
      <c r="F203" s="93">
        <f>IF(D203/VLOOKUP(E203,$B$113:$E$134,3,0)=0,D203/VLOOKUP(E203,$B$113:$E$134,3,0),INT(D203/VLOOKUP(E203,$B$113:$E$134,3,0))+1)</f>
        <v>19</v>
      </c>
      <c r="G203" s="93">
        <f>VLOOKUP(E203,$B$113:$E$134,2,0)</f>
        <v>8</v>
      </c>
      <c r="H203" s="93">
        <f>VLOOKUP(E203,$B$113:$E$134,4,0)</f>
        <v>1030</v>
      </c>
      <c r="I203" s="88">
        <f>F203*(G203/10)^2*0.617*H203/1000</f>
        <v>7.7278016000000003</v>
      </c>
      <c r="J203" s="203">
        <f>SUM(I203:I209)</f>
        <v>258.74245456</v>
      </c>
      <c r="K203" s="203">
        <f>PRODUCT(D203:D209)/10^6</f>
        <v>19.440000000000001</v>
      </c>
      <c r="L203" s="203">
        <f>K203*$L$137</f>
        <v>2.3328000000000002</v>
      </c>
      <c r="M203" s="203"/>
      <c r="N203" s="203">
        <v>1</v>
      </c>
    </row>
    <row r="204" spans="2:14" x14ac:dyDescent="0.15">
      <c r="B204" s="201"/>
      <c r="C204" s="201"/>
      <c r="D204" s="201"/>
      <c r="E204" s="93">
        <v>18</v>
      </c>
      <c r="F204" s="93">
        <f>IF(D203/VLOOKUP(E204,$B$113:$E$134,3,0)=0,D203/VLOOKUP(E204,$B$113:$E$134,3,0),INT(D203/VLOOKUP(E204,$B$113:$E$134,3,0))+1)</f>
        <v>19</v>
      </c>
      <c r="G204" s="93">
        <f>VLOOKUP(E204,$B$113:$E$134,2,0)</f>
        <v>8</v>
      </c>
      <c r="H204" s="93">
        <f t="shared" ref="H204:H209" si="112">VLOOKUP(E204,$B$113:$E$134,4,0)</f>
        <v>7654</v>
      </c>
      <c r="I204" s="88">
        <f>F204*(G204/10)^2*0.617*H204/1000</f>
        <v>57.425818880000008</v>
      </c>
      <c r="J204" s="201"/>
      <c r="K204" s="201"/>
      <c r="L204" s="201"/>
      <c r="M204" s="201"/>
      <c r="N204" s="201"/>
    </row>
    <row r="205" spans="2:14" x14ac:dyDescent="0.15">
      <c r="B205" s="201"/>
      <c r="C205" s="201"/>
      <c r="D205" s="202"/>
      <c r="E205" s="93">
        <v>15</v>
      </c>
      <c r="F205" s="93">
        <f>IF(D203/VLOOKUP(E205,$B$113:$E$134,3,0)=0,D203/VLOOKUP(E205,$B$113:$E$134,3,0),INT(D203/VLOOKUP(E205,$B$113:$E$134,3,0))+1)</f>
        <v>14</v>
      </c>
      <c r="G205" s="93">
        <f t="shared" ref="G205:G209" si="113">VLOOKUP(E205,$B$113:$E$134,2,0)</f>
        <v>10</v>
      </c>
      <c r="H205" s="93">
        <f t="shared" si="112"/>
        <v>1030</v>
      </c>
      <c r="I205" s="88">
        <f t="shared" ref="I205:I206" si="114">F205*(G205/10)^2*0.617*H205/1000</f>
        <v>8.8971400000000003</v>
      </c>
      <c r="J205" s="201"/>
      <c r="K205" s="201"/>
      <c r="L205" s="201"/>
      <c r="M205" s="201"/>
      <c r="N205" s="201"/>
    </row>
    <row r="206" spans="2:14" x14ac:dyDescent="0.15">
      <c r="B206" s="201"/>
      <c r="C206" s="201"/>
      <c r="D206" s="203">
        <v>7200</v>
      </c>
      <c r="E206" s="93">
        <v>4</v>
      </c>
      <c r="F206" s="93">
        <f>IF(D206/VLOOKUP(E206,$B$113:$E$134,3,0)=0,D206/VLOOKUP(E206,$B$113:$E$134,3,0),INT(D206/VLOOKUP(E206,$B$113:$E$134,3,0))+1)</f>
        <v>73</v>
      </c>
      <c r="G206" s="93">
        <f t="shared" si="113"/>
        <v>8</v>
      </c>
      <c r="H206" s="93">
        <f t="shared" si="112"/>
        <v>1430</v>
      </c>
      <c r="I206" s="88">
        <f t="shared" si="114"/>
        <v>41.2215232</v>
      </c>
      <c r="J206" s="201"/>
      <c r="K206" s="201"/>
      <c r="L206" s="201"/>
      <c r="M206" s="201"/>
      <c r="N206" s="201"/>
    </row>
    <row r="207" spans="2:14" x14ac:dyDescent="0.15">
      <c r="B207" s="201"/>
      <c r="C207" s="201"/>
      <c r="D207" s="201"/>
      <c r="E207" s="93">
        <v>4</v>
      </c>
      <c r="F207" s="93">
        <f>IF(D206/VLOOKUP(E207,$B$113:$E$134,3,0)=0,D206/VLOOKUP(E207,$B$113:$E$134,3,0),INT(D206/VLOOKUP(E207,$B$113:$E$134,3,0))+1)</f>
        <v>73</v>
      </c>
      <c r="G207" s="93">
        <f t="shared" si="113"/>
        <v>8</v>
      </c>
      <c r="H207" s="93">
        <f t="shared" si="112"/>
        <v>1430</v>
      </c>
      <c r="I207" s="88">
        <f>F207*(G207/10)^2*0.617*H207/1000</f>
        <v>41.2215232</v>
      </c>
      <c r="J207" s="201"/>
      <c r="K207" s="201"/>
      <c r="L207" s="201"/>
      <c r="M207" s="201"/>
      <c r="N207" s="201"/>
    </row>
    <row r="208" spans="2:14" x14ac:dyDescent="0.15">
      <c r="B208" s="201"/>
      <c r="C208" s="201"/>
      <c r="D208" s="201"/>
      <c r="E208" s="93">
        <v>14</v>
      </c>
      <c r="F208" s="93">
        <f>IF(D206/VLOOKUP(E208,$B$113:$E$134,3,0)=0,D206/VLOOKUP(E208,$B$113:$E$134,3,0),INT(D206/VLOOKUP(E208,$B$113:$E$134,3,0))+1)</f>
        <v>49</v>
      </c>
      <c r="G208" s="93">
        <f t="shared" si="113"/>
        <v>8</v>
      </c>
      <c r="H208" s="93">
        <f t="shared" si="112"/>
        <v>3154</v>
      </c>
      <c r="I208" s="88">
        <f t="shared" ref="I208" si="115">F208*(G208/10)^2*0.617*H208/1000</f>
        <v>61.027124480000005</v>
      </c>
      <c r="J208" s="201"/>
      <c r="K208" s="201"/>
      <c r="L208" s="201"/>
      <c r="M208" s="201"/>
      <c r="N208" s="201"/>
    </row>
    <row r="209" spans="2:14" x14ac:dyDescent="0.15">
      <c r="B209" s="202"/>
      <c r="C209" s="202"/>
      <c r="D209" s="202"/>
      <c r="E209" s="93">
        <v>4</v>
      </c>
      <c r="F209" s="93">
        <f>IF(D206/VLOOKUP(E209,$B$113:$E$134,3,0)=0,D206/VLOOKUP(E209,$B$113:$E$134,3,0),INT(D206/VLOOKUP(E209,$B$113:$E$134,3,0))+1)</f>
        <v>73</v>
      </c>
      <c r="G209" s="93">
        <f t="shared" si="113"/>
        <v>8</v>
      </c>
      <c r="H209" s="93">
        <f t="shared" si="112"/>
        <v>1430</v>
      </c>
      <c r="I209" s="88">
        <f>F209*(G209/10)^2*0.617*H209/1000</f>
        <v>41.2215232</v>
      </c>
      <c r="J209" s="202"/>
      <c r="K209" s="202"/>
      <c r="L209" s="202"/>
      <c r="M209" s="202"/>
      <c r="N209" s="202"/>
    </row>
    <row r="210" spans="2:14" x14ac:dyDescent="0.15">
      <c r="B210" s="203">
        <v>12</v>
      </c>
      <c r="C210" s="203">
        <v>1</v>
      </c>
      <c r="D210" s="203">
        <v>2700</v>
      </c>
      <c r="E210" s="93">
        <v>15</v>
      </c>
      <c r="F210" s="93">
        <f>IF(D210/VLOOKUP(E210,$B$113:$E$134,3,0)=0,D210/VLOOKUP(E210,$B$113:$E$134,3,0),INT(D210/VLOOKUP(E210,$B$113:$E$134,3,0))+1)</f>
        <v>14</v>
      </c>
      <c r="G210" s="93">
        <f>VLOOKUP(E210,$B$113:$E$134,2,0)</f>
        <v>10</v>
      </c>
      <c r="H210" s="93">
        <f>VLOOKUP(E210,$B$113:$E$134,4,0)</f>
        <v>1030</v>
      </c>
      <c r="I210" s="88">
        <f>F210*(G210/10)^2*0.617*H210/1000</f>
        <v>8.8971400000000003</v>
      </c>
      <c r="J210" s="203">
        <f>SUM(I210:I217)</f>
        <v>263.96967855999998</v>
      </c>
      <c r="K210" s="203">
        <f>PRODUCT(D210:D217)/10^6</f>
        <v>19.440000000000001</v>
      </c>
      <c r="L210" s="203">
        <f>K210*$L$137</f>
        <v>2.3328000000000002</v>
      </c>
      <c r="M210" s="203"/>
      <c r="N210" s="203">
        <v>1</v>
      </c>
    </row>
    <row r="211" spans="2:14" x14ac:dyDescent="0.15">
      <c r="B211" s="201"/>
      <c r="C211" s="201"/>
      <c r="D211" s="201"/>
      <c r="E211" s="93">
        <v>13</v>
      </c>
      <c r="F211" s="93">
        <f>IF(D210/VLOOKUP(E211,$B$113:$E$134,3,0)=0,D210/VLOOKUP(E211,$B$113:$E$134,3,0),INT(D210/VLOOKUP(E211,$B$113:$E$134,3,0))+1)</f>
        <v>19</v>
      </c>
      <c r="G211" s="93">
        <f>VLOOKUP(E211,$B$113:$E$134,2,0)</f>
        <v>8</v>
      </c>
      <c r="H211" s="93">
        <f t="shared" ref="H211:H217" si="116">VLOOKUP(E211,$B$113:$E$134,4,0)</f>
        <v>7624</v>
      </c>
      <c r="I211" s="88">
        <f>F211*(G211/10)^2*0.617*H211/1000</f>
        <v>57.200737280000006</v>
      </c>
      <c r="J211" s="201"/>
      <c r="K211" s="201"/>
      <c r="L211" s="201"/>
      <c r="M211" s="201"/>
      <c r="N211" s="201"/>
    </row>
    <row r="212" spans="2:14" x14ac:dyDescent="0.15">
      <c r="B212" s="201"/>
      <c r="C212" s="201"/>
      <c r="D212" s="202"/>
      <c r="E212" s="93">
        <v>17</v>
      </c>
      <c r="F212" s="93">
        <f>IF(D210/VLOOKUP(E212,$B$113:$E$134,3,0)=0,D210/VLOOKUP(E212,$B$113:$E$134,3,0),INT(D210/VLOOKUP(E212,$B$113:$E$134,3,0))+1)</f>
        <v>14</v>
      </c>
      <c r="G212" s="93">
        <f t="shared" ref="G212:G217" si="117">VLOOKUP(E212,$B$113:$E$134,2,0)</f>
        <v>8</v>
      </c>
      <c r="H212" s="93">
        <f t="shared" si="116"/>
        <v>1350</v>
      </c>
      <c r="I212" s="88">
        <f t="shared" ref="I212:I213" si="118">F212*(G212/10)^2*0.617*H212/1000</f>
        <v>7.4632320000000005</v>
      </c>
      <c r="J212" s="201"/>
      <c r="K212" s="201"/>
      <c r="L212" s="201"/>
      <c r="M212" s="201"/>
      <c r="N212" s="201"/>
    </row>
    <row r="213" spans="2:14" x14ac:dyDescent="0.15">
      <c r="B213" s="201"/>
      <c r="C213" s="201"/>
      <c r="D213" s="203">
        <v>7200</v>
      </c>
      <c r="E213" s="93">
        <v>10</v>
      </c>
      <c r="F213" s="93">
        <f>IF(D213/VLOOKUP(E213,$B$113:$E$134,3,0)=0,D213/VLOOKUP(E213,$B$113:$E$134,3,0),INT(D213/VLOOKUP(E213,$B$113:$E$134,3,0))+1)</f>
        <v>37</v>
      </c>
      <c r="G213" s="93">
        <f t="shared" si="117"/>
        <v>8</v>
      </c>
      <c r="H213" s="93">
        <f t="shared" si="116"/>
        <v>1300</v>
      </c>
      <c r="I213" s="88">
        <f t="shared" si="118"/>
        <v>18.993728000000004</v>
      </c>
      <c r="J213" s="201"/>
      <c r="K213" s="201"/>
      <c r="L213" s="201"/>
      <c r="M213" s="201"/>
      <c r="N213" s="201"/>
    </row>
    <row r="214" spans="2:14" x14ac:dyDescent="0.15">
      <c r="B214" s="201"/>
      <c r="C214" s="201"/>
      <c r="D214" s="201"/>
      <c r="E214" s="93">
        <v>16</v>
      </c>
      <c r="F214" s="93">
        <f>IF(D213/VLOOKUP(E214,$B$113:$E$134,3,0)=0,D213/VLOOKUP(E214,$B$113:$E$134,3,0),INT(D213/VLOOKUP(E214,$B$113:$E$134,3,0))+1)</f>
        <v>58</v>
      </c>
      <c r="G214" s="93">
        <f t="shared" si="117"/>
        <v>10</v>
      </c>
      <c r="H214" s="93">
        <f t="shared" si="116"/>
        <v>1230</v>
      </c>
      <c r="I214" s="88">
        <f>F214*(G214/10)^2*0.617*H214/1000</f>
        <v>44.016779999999997</v>
      </c>
      <c r="J214" s="201"/>
      <c r="K214" s="201"/>
      <c r="L214" s="201"/>
      <c r="M214" s="201"/>
      <c r="N214" s="201"/>
    </row>
    <row r="215" spans="2:14" x14ac:dyDescent="0.15">
      <c r="B215" s="201"/>
      <c r="C215" s="201"/>
      <c r="D215" s="201"/>
      <c r="E215" s="93">
        <v>14</v>
      </c>
      <c r="F215" s="93">
        <f>IF(D213/VLOOKUP(E215,$B$113:$E$134,3,0)=0,D213/VLOOKUP(E215,$B$113:$E$134,3,0),INT(D213/VLOOKUP(E215,$B$113:$E$134,3,0))+1)</f>
        <v>49</v>
      </c>
      <c r="G215" s="93">
        <f t="shared" si="117"/>
        <v>8</v>
      </c>
      <c r="H215" s="93">
        <f t="shared" si="116"/>
        <v>3154</v>
      </c>
      <c r="I215" s="88">
        <f t="shared" ref="I215" si="119">F215*(G215/10)^2*0.617*H215/1000</f>
        <v>61.027124480000005</v>
      </c>
      <c r="J215" s="201"/>
      <c r="K215" s="201"/>
      <c r="L215" s="201"/>
      <c r="M215" s="201"/>
      <c r="N215" s="201"/>
    </row>
    <row r="216" spans="2:14" x14ac:dyDescent="0.15">
      <c r="B216" s="201"/>
      <c r="C216" s="201"/>
      <c r="D216" s="201"/>
      <c r="E216" s="93">
        <v>6</v>
      </c>
      <c r="F216" s="93">
        <f>IF(D213/VLOOKUP(E216,$B$113:$E$134,3,0)=0,D213/VLOOKUP(E216,$B$113:$E$134,3,0),INT(D213/VLOOKUP(E216,$B$113:$E$134,3,0))+1)</f>
        <v>37</v>
      </c>
      <c r="G216" s="93">
        <f t="shared" si="117"/>
        <v>8</v>
      </c>
      <c r="H216" s="93">
        <f t="shared" si="116"/>
        <v>1530</v>
      </c>
      <c r="I216" s="88">
        <f>F216*(G216/10)^2*0.617*H216/1000</f>
        <v>22.354156800000002</v>
      </c>
      <c r="J216" s="201"/>
      <c r="K216" s="201"/>
      <c r="L216" s="201"/>
      <c r="M216" s="201"/>
      <c r="N216" s="201"/>
    </row>
    <row r="217" spans="2:14" x14ac:dyDescent="0.15">
      <c r="B217" s="202"/>
      <c r="C217" s="202"/>
      <c r="D217" s="202"/>
      <c r="E217" s="93">
        <v>16</v>
      </c>
      <c r="F217" s="93">
        <f>IF(D213/VLOOKUP(E217,$B$113:$E$134,3,0)=0,D213/VLOOKUP(E217,$B$113:$E$134,3,0),INT(D213/VLOOKUP(E217,$B$113:$E$134,3,0))+1)</f>
        <v>58</v>
      </c>
      <c r="G217" s="93">
        <f t="shared" si="117"/>
        <v>10</v>
      </c>
      <c r="H217" s="93">
        <f t="shared" si="116"/>
        <v>1230</v>
      </c>
      <c r="I217" s="88">
        <f t="shared" ref="I217" si="120">F217*(G217/10)^2*0.617*H217/1000</f>
        <v>44.016779999999997</v>
      </c>
      <c r="J217" s="202"/>
      <c r="K217" s="202"/>
      <c r="L217" s="202"/>
      <c r="M217" s="202"/>
      <c r="N217" s="202"/>
    </row>
    <row r="219" spans="2:14" ht="14.25" thickBot="1" x14ac:dyDescent="0.2"/>
    <row r="220" spans="2:14" ht="14.25" thickBot="1" x14ac:dyDescent="0.2">
      <c r="B220" s="236" t="s">
        <v>180</v>
      </c>
      <c r="C220" s="237"/>
      <c r="D220" s="237"/>
      <c r="E220" s="238"/>
    </row>
    <row r="221" spans="2:14" ht="14.25" thickBot="1" x14ac:dyDescent="0.2">
      <c r="B221" s="116" t="s">
        <v>165</v>
      </c>
      <c r="C221" s="116" t="s">
        <v>166</v>
      </c>
      <c r="D221" s="116" t="s">
        <v>167</v>
      </c>
      <c r="E221" s="117" t="s">
        <v>168</v>
      </c>
    </row>
    <row r="222" spans="2:14" x14ac:dyDescent="0.15">
      <c r="B222" s="97">
        <v>1</v>
      </c>
      <c r="C222" s="95">
        <v>8</v>
      </c>
      <c r="D222" s="95">
        <v>100</v>
      </c>
      <c r="E222" s="96">
        <v>4049</v>
      </c>
    </row>
    <row r="223" spans="2:14" x14ac:dyDescent="0.15">
      <c r="B223" s="90">
        <v>2</v>
      </c>
      <c r="C223" s="93">
        <v>8</v>
      </c>
      <c r="D223" s="93">
        <v>150</v>
      </c>
      <c r="E223" s="91">
        <v>7049</v>
      </c>
    </row>
    <row r="224" spans="2:14" x14ac:dyDescent="0.15">
      <c r="B224" s="90">
        <v>3</v>
      </c>
      <c r="C224" s="93">
        <v>8</v>
      </c>
      <c r="D224" s="93">
        <v>200</v>
      </c>
      <c r="E224" s="91">
        <v>1530</v>
      </c>
    </row>
    <row r="225" spans="2:7" x14ac:dyDescent="0.15">
      <c r="B225" s="90">
        <v>4</v>
      </c>
      <c r="C225" s="93">
        <v>12</v>
      </c>
      <c r="D225" s="93">
        <v>150</v>
      </c>
      <c r="E225" s="91">
        <v>1430</v>
      </c>
    </row>
    <row r="226" spans="2:7" x14ac:dyDescent="0.15">
      <c r="B226" s="90">
        <v>5</v>
      </c>
      <c r="C226" s="93">
        <v>12</v>
      </c>
      <c r="D226" s="93">
        <v>200</v>
      </c>
      <c r="E226" s="91">
        <v>1430</v>
      </c>
    </row>
    <row r="227" spans="2:7" x14ac:dyDescent="0.15">
      <c r="B227" s="90">
        <v>6</v>
      </c>
      <c r="C227" s="93">
        <v>8</v>
      </c>
      <c r="D227" s="93">
        <v>150</v>
      </c>
      <c r="E227" s="91">
        <v>7624</v>
      </c>
    </row>
    <row r="228" spans="2:7" x14ac:dyDescent="0.15">
      <c r="B228" s="90">
        <v>7</v>
      </c>
      <c r="C228" s="93">
        <v>8</v>
      </c>
      <c r="D228" s="93">
        <v>150</v>
      </c>
      <c r="E228" s="91">
        <v>3154</v>
      </c>
    </row>
    <row r="229" spans="2:7" x14ac:dyDescent="0.15">
      <c r="B229" s="90">
        <v>8</v>
      </c>
      <c r="C229" s="93">
        <v>8</v>
      </c>
      <c r="D229" s="93">
        <v>200</v>
      </c>
      <c r="E229" s="91">
        <v>1350</v>
      </c>
    </row>
    <row r="230" spans="2:7" x14ac:dyDescent="0.15">
      <c r="B230" s="90">
        <v>9</v>
      </c>
      <c r="C230" s="93">
        <v>8</v>
      </c>
      <c r="D230" s="93">
        <v>150</v>
      </c>
      <c r="E230" s="91">
        <v>1030</v>
      </c>
    </row>
    <row r="231" spans="2:7" x14ac:dyDescent="0.15">
      <c r="B231" s="90">
        <v>10</v>
      </c>
      <c r="C231" s="93">
        <v>10</v>
      </c>
      <c r="D231" s="93">
        <v>200</v>
      </c>
      <c r="E231" s="91">
        <v>4054</v>
      </c>
    </row>
    <row r="232" spans="2:7" x14ac:dyDescent="0.15">
      <c r="B232" s="90">
        <v>11</v>
      </c>
      <c r="C232" s="93">
        <v>8</v>
      </c>
      <c r="D232" s="93">
        <v>100</v>
      </c>
      <c r="E232" s="91">
        <v>1230</v>
      </c>
    </row>
    <row r="233" spans="2:7" x14ac:dyDescent="0.15">
      <c r="B233" s="90">
        <v>12</v>
      </c>
      <c r="C233" s="93">
        <v>8</v>
      </c>
      <c r="D233" s="93">
        <v>150</v>
      </c>
      <c r="E233" s="91">
        <v>7654</v>
      </c>
    </row>
    <row r="234" spans="2:7" x14ac:dyDescent="0.15">
      <c r="B234" s="90">
        <v>13</v>
      </c>
      <c r="C234" s="93">
        <v>10</v>
      </c>
      <c r="D234" s="93">
        <v>200</v>
      </c>
      <c r="E234" s="91">
        <v>1030</v>
      </c>
    </row>
    <row r="235" spans="2:7" x14ac:dyDescent="0.15">
      <c r="B235" s="90">
        <v>14</v>
      </c>
      <c r="C235" s="93">
        <v>8</v>
      </c>
      <c r="D235" s="93">
        <v>100</v>
      </c>
      <c r="E235" s="91">
        <v>4054</v>
      </c>
    </row>
    <row r="236" spans="2:7" x14ac:dyDescent="0.15">
      <c r="B236" s="90">
        <v>15</v>
      </c>
      <c r="C236" s="93">
        <v>10</v>
      </c>
      <c r="D236" s="93">
        <v>125</v>
      </c>
      <c r="E236" s="91">
        <v>1230</v>
      </c>
    </row>
    <row r="237" spans="2:7" x14ac:dyDescent="0.15">
      <c r="B237" s="90">
        <v>16</v>
      </c>
      <c r="C237" s="93">
        <v>10</v>
      </c>
      <c r="D237" s="93">
        <v>200</v>
      </c>
      <c r="E237" s="91">
        <v>3154</v>
      </c>
    </row>
    <row r="238" spans="2:7" x14ac:dyDescent="0.15">
      <c r="B238" s="90">
        <v>17</v>
      </c>
      <c r="C238" s="93">
        <v>8</v>
      </c>
      <c r="D238" s="93">
        <v>200</v>
      </c>
      <c r="E238" s="91">
        <v>1300</v>
      </c>
    </row>
    <row r="239" spans="2:7" x14ac:dyDescent="0.15">
      <c r="B239" s="90">
        <v>18</v>
      </c>
      <c r="C239" s="93">
        <v>10</v>
      </c>
      <c r="D239" s="93">
        <v>125</v>
      </c>
      <c r="E239" s="91">
        <v>4054</v>
      </c>
    </row>
    <row r="240" spans="2:7" x14ac:dyDescent="0.15">
      <c r="B240" s="90">
        <v>19</v>
      </c>
      <c r="C240" s="93">
        <v>8</v>
      </c>
      <c r="D240" s="93">
        <v>100</v>
      </c>
      <c r="E240" s="91">
        <v>4059</v>
      </c>
      <c r="G240" s="66"/>
    </row>
    <row r="241" spans="2:14" ht="14.25" thickBot="1" x14ac:dyDescent="0.2">
      <c r="B241" s="20">
        <v>20</v>
      </c>
      <c r="C241" s="8">
        <v>10</v>
      </c>
      <c r="D241" s="8">
        <v>125</v>
      </c>
      <c r="E241" s="9">
        <v>4049</v>
      </c>
    </row>
    <row r="242" spans="2:14" x14ac:dyDescent="0.15">
      <c r="B242" s="94"/>
      <c r="C242" s="94"/>
      <c r="D242" s="94"/>
      <c r="E242" s="94"/>
    </row>
    <row r="243" spans="2:14" ht="14.25" thickBot="1" x14ac:dyDescent="0.2">
      <c r="B243" s="94"/>
      <c r="C243" s="94"/>
      <c r="D243" s="94"/>
      <c r="E243" s="94"/>
    </row>
    <row r="244" spans="2:14" x14ac:dyDescent="0.15">
      <c r="B244" s="239" t="s">
        <v>181</v>
      </c>
      <c r="C244" s="240"/>
      <c r="D244" s="240"/>
      <c r="E244" s="240"/>
      <c r="F244" s="240"/>
      <c r="G244" s="240"/>
      <c r="H244" s="240"/>
      <c r="I244" s="240"/>
      <c r="J244" s="240"/>
      <c r="K244" s="240"/>
      <c r="L244" s="118">
        <v>0.12</v>
      </c>
      <c r="M244" s="119"/>
      <c r="N244" s="119"/>
    </row>
    <row r="245" spans="2:14" ht="16.5" thickBot="1" x14ac:dyDescent="0.2">
      <c r="B245" s="18" t="s">
        <v>170</v>
      </c>
      <c r="C245" s="120" t="s">
        <v>173</v>
      </c>
      <c r="D245" s="120" t="s">
        <v>176</v>
      </c>
      <c r="E245" s="120" t="s">
        <v>172</v>
      </c>
      <c r="F245" s="120" t="s">
        <v>174</v>
      </c>
      <c r="G245" s="120" t="s">
        <v>166</v>
      </c>
      <c r="H245" s="120" t="s">
        <v>168</v>
      </c>
      <c r="I245" s="120" t="s">
        <v>175</v>
      </c>
      <c r="J245" s="120" t="s">
        <v>191</v>
      </c>
      <c r="K245" s="120" t="s">
        <v>195</v>
      </c>
      <c r="L245" s="121" t="s">
        <v>162</v>
      </c>
      <c r="M245" s="122" t="s">
        <v>182</v>
      </c>
      <c r="N245" s="122" t="s">
        <v>183</v>
      </c>
    </row>
    <row r="246" spans="2:14" x14ac:dyDescent="0.15">
      <c r="B246" s="202">
        <v>1</v>
      </c>
      <c r="C246" s="202">
        <v>1</v>
      </c>
      <c r="D246" s="202">
        <v>6600</v>
      </c>
      <c r="E246" s="99">
        <v>3</v>
      </c>
      <c r="F246" s="99">
        <f>IF(D246/VLOOKUP(E246,$B$222:$E$241,3,0)=0,D246/VLOOKUP(E246,$B$222:$E$241,3,0),INT(D246/VLOOKUP(E246,$B$222:$E$241,3,0))+1)</f>
        <v>34</v>
      </c>
      <c r="G246" s="99">
        <f>VLOOKUP(E246,$B$222:$E$241,2,0)</f>
        <v>8</v>
      </c>
      <c r="H246" s="99">
        <f>VLOOKUP(E246,$B$222:$E$241,4,0)</f>
        <v>1530</v>
      </c>
      <c r="I246" s="89">
        <f>F246*(G246/10)^2*0.617*H246/1000</f>
        <v>20.541657600000004</v>
      </c>
      <c r="J246" s="200">
        <f>SUM(I246:I251)</f>
        <v>290.04646784000005</v>
      </c>
      <c r="K246" s="202">
        <f>PRODUCT(D246:D251)/10^6</f>
        <v>23.76</v>
      </c>
      <c r="L246" s="202">
        <f>K246*$L$244</f>
        <v>2.8512</v>
      </c>
      <c r="M246" s="202">
        <v>1</v>
      </c>
      <c r="N246" s="202"/>
    </row>
    <row r="247" spans="2:14" x14ac:dyDescent="0.15">
      <c r="B247" s="189"/>
      <c r="C247" s="189"/>
      <c r="D247" s="189"/>
      <c r="E247" s="93">
        <v>1</v>
      </c>
      <c r="F247" s="93">
        <f>IF(D246/VLOOKUP(E247,$B$222:$E$241,3,0)=0,D246/VLOOKUP(E247,$B$222:$E$241,3,0),INT(D246/VLOOKUP(E247,$B$222:$E$241,3,0))+1)</f>
        <v>67</v>
      </c>
      <c r="G247" s="93">
        <f t="shared" ref="G247:G251" si="121">VLOOKUP(E247,$B$222:$E$241,2,0)</f>
        <v>8</v>
      </c>
      <c r="H247" s="93">
        <f t="shared" ref="H247:H251" si="122">VLOOKUP(E247,$B$222:$E$241,4,0)</f>
        <v>4049</v>
      </c>
      <c r="I247" s="88">
        <f>F247*(G247/10)^2*0.617*H247/1000</f>
        <v>107.12423104000003</v>
      </c>
      <c r="J247" s="201"/>
      <c r="K247" s="189"/>
      <c r="L247" s="189"/>
      <c r="M247" s="189"/>
      <c r="N247" s="189"/>
    </row>
    <row r="248" spans="2:14" x14ac:dyDescent="0.15">
      <c r="B248" s="189"/>
      <c r="C248" s="189"/>
      <c r="D248" s="189"/>
      <c r="E248" s="93">
        <v>4</v>
      </c>
      <c r="F248" s="93">
        <f>IF(D246/VLOOKUP(E248,$B$222:$E$241,3,0)=0,D246/VLOOKUP(E248,$B$222:$E$241,3,0),INT(D246/VLOOKUP(E248,$B$222:$E$241,3,0))+1)</f>
        <v>45</v>
      </c>
      <c r="G248" s="93">
        <f t="shared" si="121"/>
        <v>12</v>
      </c>
      <c r="H248" s="93">
        <f t="shared" si="122"/>
        <v>1430</v>
      </c>
      <c r="I248" s="88">
        <f t="shared" ref="I248:I249" si="123">F248*(G248/10)^2*0.617*H248/1000</f>
        <v>57.173687999999999</v>
      </c>
      <c r="J248" s="201"/>
      <c r="K248" s="189"/>
      <c r="L248" s="189"/>
      <c r="M248" s="189"/>
      <c r="N248" s="189"/>
    </row>
    <row r="249" spans="2:14" x14ac:dyDescent="0.15">
      <c r="B249" s="189"/>
      <c r="C249" s="189"/>
      <c r="D249" s="189">
        <v>3600</v>
      </c>
      <c r="E249" s="93">
        <v>3</v>
      </c>
      <c r="F249" s="93">
        <f t="shared" ref="F249" si="124">IF(D249/VLOOKUP(E249,$B$222:$E$241,3,0)=0,D249/VLOOKUP(E249,$B$222:$E$241,3,0),INT(D249/VLOOKUP(E249,$B$222:$E$241,3,0))+1)</f>
        <v>19</v>
      </c>
      <c r="G249" s="93">
        <f t="shared" si="121"/>
        <v>8</v>
      </c>
      <c r="H249" s="93">
        <f t="shared" si="122"/>
        <v>1530</v>
      </c>
      <c r="I249" s="88">
        <f t="shared" si="123"/>
        <v>11.479161600000001</v>
      </c>
      <c r="J249" s="201"/>
      <c r="K249" s="189"/>
      <c r="L249" s="189"/>
      <c r="M249" s="189"/>
      <c r="N249" s="189"/>
    </row>
    <row r="250" spans="2:14" x14ac:dyDescent="0.15">
      <c r="B250" s="189"/>
      <c r="C250" s="189"/>
      <c r="D250" s="189"/>
      <c r="E250" s="93">
        <v>2</v>
      </c>
      <c r="F250" s="93">
        <f>IF(D249/VLOOKUP(E250,$B$222:$E$241,3,0)=0,D249/VLOOKUP(E250,$B$222:$E$241,3,0),INT(D249/VLOOKUP(E250,$B$222:$E$241,3,0))+1)</f>
        <v>25</v>
      </c>
      <c r="G250" s="93">
        <f t="shared" si="121"/>
        <v>8</v>
      </c>
      <c r="H250" s="93">
        <f t="shared" si="122"/>
        <v>7049</v>
      </c>
      <c r="I250" s="88">
        <f>F250*(G250/10)^2*0.617*H250/1000</f>
        <v>69.587728000000013</v>
      </c>
      <c r="J250" s="201"/>
      <c r="K250" s="189"/>
      <c r="L250" s="189"/>
      <c r="M250" s="189"/>
      <c r="N250" s="189"/>
    </row>
    <row r="251" spans="2:14" x14ac:dyDescent="0.15">
      <c r="B251" s="189"/>
      <c r="C251" s="189"/>
      <c r="D251" s="189"/>
      <c r="E251" s="93">
        <v>5</v>
      </c>
      <c r="F251" s="93">
        <f>IF(D249/VLOOKUP(E251,$B$222:$E$241,3,0)=0,D249/VLOOKUP(E251,$B$222:$E$241,3,0),INT(D249/VLOOKUP(E251,$B$222:$E$241,3,0))+1)</f>
        <v>19</v>
      </c>
      <c r="G251" s="93">
        <f t="shared" si="121"/>
        <v>12</v>
      </c>
      <c r="H251" s="93">
        <f t="shared" si="122"/>
        <v>1430</v>
      </c>
      <c r="I251" s="88">
        <f t="shared" ref="I251" si="125">F251*(G251/10)^2*0.617*H251/1000</f>
        <v>24.140001599999998</v>
      </c>
      <c r="J251" s="202"/>
      <c r="K251" s="189"/>
      <c r="L251" s="189"/>
      <c r="M251" s="189"/>
      <c r="N251" s="189"/>
    </row>
    <row r="252" spans="2:14" x14ac:dyDescent="0.15">
      <c r="B252" s="202">
        <v>2</v>
      </c>
      <c r="C252" s="202">
        <v>1</v>
      </c>
      <c r="D252" s="202">
        <v>6600</v>
      </c>
      <c r="E252" s="99">
        <v>4</v>
      </c>
      <c r="F252" s="99">
        <f>IF(D252/VLOOKUP(E252,$B$222:$E$241,3,0)=0,D252/VLOOKUP(E252,$B$222:$E$241,3,0),INT(D252/VLOOKUP(E252,$B$222:$E$241,3,0))+1)</f>
        <v>45</v>
      </c>
      <c r="G252" s="99">
        <f>VLOOKUP(E252,$B$222:$E$241,2,0)</f>
        <v>12</v>
      </c>
      <c r="H252" s="99">
        <f>VLOOKUP(E252,$B$222:$E$241,4,0)</f>
        <v>1430</v>
      </c>
      <c r="I252" s="89">
        <f>F252*(G252/10)^2*0.617*H252/1000</f>
        <v>57.173687999999999</v>
      </c>
      <c r="J252" s="203">
        <f>SUM(I252:I257)</f>
        <v>284.45427599999999</v>
      </c>
      <c r="K252" s="202">
        <f>PRODUCT(D252:D257)/10^6</f>
        <v>23.76</v>
      </c>
      <c r="L252" s="202">
        <f t="shared" ref="L252" si="126">K252*$L$244</f>
        <v>2.8512</v>
      </c>
      <c r="M252" s="202">
        <v>2</v>
      </c>
      <c r="N252" s="202"/>
    </row>
    <row r="253" spans="2:14" x14ac:dyDescent="0.15">
      <c r="B253" s="189"/>
      <c r="C253" s="189"/>
      <c r="D253" s="189"/>
      <c r="E253" s="93">
        <v>10</v>
      </c>
      <c r="F253" s="93">
        <f>IF(D252/VLOOKUP(E253,$B$222:$E$241,3,0)=0,D252/VLOOKUP(E253,$B$222:$E$241,3,0),INT(D252/VLOOKUP(E253,$B$222:$E$241,3,0))+1)</f>
        <v>34</v>
      </c>
      <c r="G253" s="93">
        <f t="shared" ref="G253:G257" si="127">VLOOKUP(E253,$B$222:$E$241,2,0)</f>
        <v>10</v>
      </c>
      <c r="H253" s="93">
        <f t="shared" ref="H253:H257" si="128">VLOOKUP(E253,$B$222:$E$241,4,0)</f>
        <v>4054</v>
      </c>
      <c r="I253" s="88">
        <f>F253*(G253/10)^2*0.617*H253/1000</f>
        <v>85.044812000000007</v>
      </c>
      <c r="J253" s="201"/>
      <c r="K253" s="189"/>
      <c r="L253" s="189"/>
      <c r="M253" s="189"/>
      <c r="N253" s="189"/>
    </row>
    <row r="254" spans="2:14" x14ac:dyDescent="0.15">
      <c r="B254" s="189"/>
      <c r="C254" s="189"/>
      <c r="D254" s="189"/>
      <c r="E254" s="93">
        <v>5</v>
      </c>
      <c r="F254" s="93">
        <f>IF(D252/VLOOKUP(E254,$B$222:$E$241,3,0)=0,D252/VLOOKUP(E254,$B$222:$E$241,3,0),INT(D252/VLOOKUP(E254,$B$222:$E$241,3,0))+1)</f>
        <v>34</v>
      </c>
      <c r="G254" s="93">
        <f t="shared" si="127"/>
        <v>12</v>
      </c>
      <c r="H254" s="93">
        <f t="shared" si="128"/>
        <v>1430</v>
      </c>
      <c r="I254" s="88">
        <f t="shared" ref="I254:I255" si="129">F254*(G254/10)^2*0.617*H254/1000</f>
        <v>43.197897600000005</v>
      </c>
      <c r="J254" s="201"/>
      <c r="K254" s="189"/>
      <c r="L254" s="189"/>
      <c r="M254" s="189"/>
      <c r="N254" s="189"/>
    </row>
    <row r="255" spans="2:14" x14ac:dyDescent="0.15">
      <c r="B255" s="189"/>
      <c r="C255" s="189"/>
      <c r="D255" s="189">
        <v>3600</v>
      </c>
      <c r="E255" s="93">
        <v>3</v>
      </c>
      <c r="F255" s="93">
        <f t="shared" ref="F255" si="130">IF(D255/VLOOKUP(E255,$B$222:$E$241,3,0)=0,D255/VLOOKUP(E255,$B$222:$E$241,3,0),INT(D255/VLOOKUP(E255,$B$222:$E$241,3,0))+1)</f>
        <v>19</v>
      </c>
      <c r="G255" s="93">
        <f t="shared" si="127"/>
        <v>8</v>
      </c>
      <c r="H255" s="93">
        <f t="shared" si="128"/>
        <v>1530</v>
      </c>
      <c r="I255" s="88">
        <f t="shared" si="129"/>
        <v>11.479161600000001</v>
      </c>
      <c r="J255" s="201"/>
      <c r="K255" s="189"/>
      <c r="L255" s="189"/>
      <c r="M255" s="189"/>
      <c r="N255" s="189"/>
    </row>
    <row r="256" spans="2:14" x14ac:dyDescent="0.15">
      <c r="B256" s="189"/>
      <c r="C256" s="189"/>
      <c r="D256" s="189"/>
      <c r="E256" s="93">
        <v>2</v>
      </c>
      <c r="F256" s="93">
        <f>IF(D255/VLOOKUP(E256,$B$222:$E$241,3,0)=0,D255/VLOOKUP(E256,$B$222:$E$241,3,0),INT(D255/VLOOKUP(E256,$B$222:$E$241,3,0))+1)</f>
        <v>25</v>
      </c>
      <c r="G256" s="93">
        <f t="shared" si="127"/>
        <v>8</v>
      </c>
      <c r="H256" s="93">
        <f t="shared" si="128"/>
        <v>7049</v>
      </c>
      <c r="I256" s="88">
        <f>F256*(G256/10)^2*0.617*H256/1000</f>
        <v>69.587728000000013</v>
      </c>
      <c r="J256" s="201"/>
      <c r="K256" s="189"/>
      <c r="L256" s="189"/>
      <c r="M256" s="189"/>
      <c r="N256" s="189"/>
    </row>
    <row r="257" spans="2:14" x14ac:dyDescent="0.15">
      <c r="B257" s="189"/>
      <c r="C257" s="189"/>
      <c r="D257" s="189"/>
      <c r="E257" s="93">
        <v>11</v>
      </c>
      <c r="F257" s="93">
        <f>IF(D255/VLOOKUP(E257,$B$222:$E$241,3,0)=0,D255/VLOOKUP(E257,$B$222:$E$241,3,0),INT(D255/VLOOKUP(E257,$B$222:$E$241,3,0))+1)</f>
        <v>37</v>
      </c>
      <c r="G257" s="93">
        <f t="shared" si="127"/>
        <v>8</v>
      </c>
      <c r="H257" s="93">
        <f t="shared" si="128"/>
        <v>1230</v>
      </c>
      <c r="I257" s="88">
        <f t="shared" ref="I257" si="131">F257*(G257/10)^2*0.617*H257/1000</f>
        <v>17.970988800000004</v>
      </c>
      <c r="J257" s="202"/>
      <c r="K257" s="189"/>
      <c r="L257" s="189"/>
      <c r="M257" s="189"/>
      <c r="N257" s="189"/>
    </row>
    <row r="258" spans="2:14" x14ac:dyDescent="0.15">
      <c r="B258" s="202">
        <v>3</v>
      </c>
      <c r="C258" s="202">
        <v>8</v>
      </c>
      <c r="D258" s="202">
        <v>6600</v>
      </c>
      <c r="E258" s="99">
        <v>5</v>
      </c>
      <c r="F258" s="99">
        <f>IF(D258/VLOOKUP(E258,$B$222:$E$241,3,0)=0,D258/VLOOKUP(E258,$B$222:$E$241,3,0),INT(D258/VLOOKUP(E258,$B$222:$E$241,3,0))+1)</f>
        <v>34</v>
      </c>
      <c r="G258" s="99">
        <f>VLOOKUP(E258,$B$222:$E$241,2,0)</f>
        <v>12</v>
      </c>
      <c r="H258" s="99">
        <f>VLOOKUP(E258,$B$222:$E$241,4,0)</f>
        <v>1430</v>
      </c>
      <c r="I258" s="89">
        <f>F258*(G258/10)^2*0.617*H258/1000</f>
        <v>43.197897600000005</v>
      </c>
      <c r="J258" s="203">
        <f t="shared" ref="J258" si="132">SUM(I258:I263)</f>
        <v>284.45427599999999</v>
      </c>
      <c r="K258" s="202">
        <f>PRODUCT(D258:D263)/10^6</f>
        <v>23.76</v>
      </c>
      <c r="L258" s="202">
        <f t="shared" ref="L258" si="133">K258*$L$244</f>
        <v>2.8512</v>
      </c>
      <c r="M258" s="202">
        <v>4</v>
      </c>
      <c r="N258" s="202">
        <v>4</v>
      </c>
    </row>
    <row r="259" spans="2:14" x14ac:dyDescent="0.15">
      <c r="B259" s="189"/>
      <c r="C259" s="189"/>
      <c r="D259" s="189"/>
      <c r="E259" s="93">
        <v>10</v>
      </c>
      <c r="F259" s="93">
        <f>IF(D258/VLOOKUP(E259,$B$222:$E$241,3,0)=0,D258/VLOOKUP(E259,$B$222:$E$241,3,0),INT(D258/VLOOKUP(E259,$B$222:$E$241,3,0))+1)</f>
        <v>34</v>
      </c>
      <c r="G259" s="93">
        <f t="shared" ref="G259:G263" si="134">VLOOKUP(E259,$B$222:$E$241,2,0)</f>
        <v>10</v>
      </c>
      <c r="H259" s="93">
        <f t="shared" ref="H259:H263" si="135">VLOOKUP(E259,$B$222:$E$241,4,0)</f>
        <v>4054</v>
      </c>
      <c r="I259" s="88">
        <f>F259*(G259/10)^2*0.617*H259/1000</f>
        <v>85.044812000000007</v>
      </c>
      <c r="J259" s="201"/>
      <c r="K259" s="189"/>
      <c r="L259" s="189"/>
      <c r="M259" s="189"/>
      <c r="N259" s="189"/>
    </row>
    <row r="260" spans="2:14" x14ac:dyDescent="0.15">
      <c r="B260" s="189"/>
      <c r="C260" s="189"/>
      <c r="D260" s="189"/>
      <c r="E260" s="93">
        <v>4</v>
      </c>
      <c r="F260" s="93">
        <f>IF(D258/VLOOKUP(E260,$B$222:$E$241,3,0)=0,D258/VLOOKUP(E260,$B$222:$E$241,3,0),INT(D258/VLOOKUP(E260,$B$222:$E$241,3,0))+1)</f>
        <v>45</v>
      </c>
      <c r="G260" s="93">
        <f t="shared" si="134"/>
        <v>12</v>
      </c>
      <c r="H260" s="93">
        <f t="shared" si="135"/>
        <v>1430</v>
      </c>
      <c r="I260" s="88">
        <f t="shared" ref="I260:I261" si="136">F260*(G260/10)^2*0.617*H260/1000</f>
        <v>57.173687999999999</v>
      </c>
      <c r="J260" s="201"/>
      <c r="K260" s="189"/>
      <c r="L260" s="189"/>
      <c r="M260" s="189"/>
      <c r="N260" s="189"/>
    </row>
    <row r="261" spans="2:14" x14ac:dyDescent="0.15">
      <c r="B261" s="189"/>
      <c r="C261" s="189"/>
      <c r="D261" s="189">
        <v>3600</v>
      </c>
      <c r="E261" s="93">
        <v>3</v>
      </c>
      <c r="F261" s="93">
        <f t="shared" ref="F261" si="137">IF(D261/VLOOKUP(E261,$B$222:$E$241,3,0)=0,D261/VLOOKUP(E261,$B$222:$E$241,3,0),INT(D261/VLOOKUP(E261,$B$222:$E$241,3,0))+1)</f>
        <v>19</v>
      </c>
      <c r="G261" s="93">
        <f t="shared" si="134"/>
        <v>8</v>
      </c>
      <c r="H261" s="93">
        <f t="shared" si="135"/>
        <v>1530</v>
      </c>
      <c r="I261" s="88">
        <f t="shared" si="136"/>
        <v>11.479161600000001</v>
      </c>
      <c r="J261" s="201"/>
      <c r="K261" s="189"/>
      <c r="L261" s="189"/>
      <c r="M261" s="189"/>
      <c r="N261" s="189"/>
    </row>
    <row r="262" spans="2:14" x14ac:dyDescent="0.15">
      <c r="B262" s="189"/>
      <c r="C262" s="189"/>
      <c r="D262" s="189"/>
      <c r="E262" s="93">
        <v>2</v>
      </c>
      <c r="F262" s="93">
        <f>IF(D261/VLOOKUP(E262,$B$222:$E$241,3,0)=0,D261/VLOOKUP(E262,$B$222:$E$241,3,0),INT(D261/VLOOKUP(E262,$B$222:$E$241,3,0))+1)</f>
        <v>25</v>
      </c>
      <c r="G262" s="93">
        <f t="shared" si="134"/>
        <v>8</v>
      </c>
      <c r="H262" s="93">
        <f t="shared" si="135"/>
        <v>7049</v>
      </c>
      <c r="I262" s="88">
        <f>F262*(G262/10)^2*0.617*H262/1000</f>
        <v>69.587728000000013</v>
      </c>
      <c r="J262" s="201"/>
      <c r="K262" s="189"/>
      <c r="L262" s="189"/>
      <c r="M262" s="189"/>
      <c r="N262" s="189"/>
    </row>
    <row r="263" spans="2:14" x14ac:dyDescent="0.15">
      <c r="B263" s="189"/>
      <c r="C263" s="189"/>
      <c r="D263" s="189"/>
      <c r="E263" s="93">
        <v>11</v>
      </c>
      <c r="F263" s="93">
        <f>IF(D261/VLOOKUP(E263,$B$222:$E$241,3,0)=0,D261/VLOOKUP(E263,$B$222:$E$241,3,0),INT(D261/VLOOKUP(E263,$B$222:$E$241,3,0))+1)</f>
        <v>37</v>
      </c>
      <c r="G263" s="93">
        <f t="shared" si="134"/>
        <v>8</v>
      </c>
      <c r="H263" s="93">
        <f t="shared" si="135"/>
        <v>1230</v>
      </c>
      <c r="I263" s="88">
        <f t="shared" ref="I263" si="138">F263*(G263/10)^2*0.617*H263/1000</f>
        <v>17.970988800000004</v>
      </c>
      <c r="J263" s="202"/>
      <c r="K263" s="189"/>
      <c r="L263" s="189"/>
      <c r="M263" s="189"/>
      <c r="N263" s="189"/>
    </row>
    <row r="264" spans="2:14" x14ac:dyDescent="0.15">
      <c r="B264" s="202">
        <v>4</v>
      </c>
      <c r="C264" s="202">
        <v>1</v>
      </c>
      <c r="D264" s="202">
        <v>6600</v>
      </c>
      <c r="E264" s="99">
        <v>3</v>
      </c>
      <c r="F264" s="99">
        <f>IF(D264/VLOOKUP(E264,$B$222:$E$241,3,0)=0,D264/VLOOKUP(E264,$B$222:$E$241,3,0),INT(D264/VLOOKUP(E264,$B$222:$E$241,3,0))+1)</f>
        <v>34</v>
      </c>
      <c r="G264" s="99">
        <f>VLOOKUP(E264,$B$222:$E$241,2,0)</f>
        <v>8</v>
      </c>
      <c r="H264" s="99">
        <f>VLOOKUP(E264,$B$222:$E$241,4,0)</f>
        <v>1530</v>
      </c>
      <c r="I264" s="89">
        <f>F264*(G264/10)^2*0.617*H264/1000</f>
        <v>20.541657600000004</v>
      </c>
      <c r="J264" s="203">
        <f t="shared" ref="J264" si="139">SUM(I264:I269)</f>
        <v>302.83125080000002</v>
      </c>
      <c r="K264" s="202">
        <f>PRODUCT(D264:D269)/10^6</f>
        <v>23.76</v>
      </c>
      <c r="L264" s="202">
        <f t="shared" ref="L264" si="140">K264*$L$244</f>
        <v>2.8512</v>
      </c>
      <c r="M264" s="202"/>
      <c r="N264" s="202">
        <v>1</v>
      </c>
    </row>
    <row r="265" spans="2:14" x14ac:dyDescent="0.15">
      <c r="B265" s="189"/>
      <c r="C265" s="189"/>
      <c r="D265" s="189"/>
      <c r="E265" s="93">
        <v>18</v>
      </c>
      <c r="F265" s="93">
        <f>IF(D264/VLOOKUP(E265,$B$222:$E$241,3,0)=0,D264/VLOOKUP(E265,$B$222:$E$241,3,0),INT(D264/VLOOKUP(E265,$B$222:$E$241,3,0))+1)</f>
        <v>53</v>
      </c>
      <c r="G265" s="93">
        <f t="shared" ref="G265:G269" si="141">VLOOKUP(E265,$B$222:$E$241,2,0)</f>
        <v>10</v>
      </c>
      <c r="H265" s="93">
        <f t="shared" ref="H265:H269" si="142">VLOOKUP(E265,$B$222:$E$241,4,0)</f>
        <v>4054</v>
      </c>
      <c r="I265" s="88">
        <f>F265*(G265/10)^2*0.617*H265/1000</f>
        <v>132.56985399999999</v>
      </c>
      <c r="J265" s="201"/>
      <c r="K265" s="189"/>
      <c r="L265" s="189"/>
      <c r="M265" s="189"/>
      <c r="N265" s="189"/>
    </row>
    <row r="266" spans="2:14" x14ac:dyDescent="0.15">
      <c r="B266" s="189"/>
      <c r="C266" s="189"/>
      <c r="D266" s="189"/>
      <c r="E266" s="93">
        <v>4</v>
      </c>
      <c r="F266" s="93">
        <f>IF(D264/VLOOKUP(E266,$B$222:$E$241,3,0)=0,D264/VLOOKUP(E266,$B$222:$E$241,3,0),INT(D264/VLOOKUP(E266,$B$222:$E$241,3,0))+1)</f>
        <v>45</v>
      </c>
      <c r="G266" s="93">
        <f t="shared" si="141"/>
        <v>12</v>
      </c>
      <c r="H266" s="93">
        <f t="shared" si="142"/>
        <v>1430</v>
      </c>
      <c r="I266" s="88">
        <f t="shared" ref="I266:I267" si="143">F266*(G266/10)^2*0.617*H266/1000</f>
        <v>57.173687999999999</v>
      </c>
      <c r="J266" s="201"/>
      <c r="K266" s="189"/>
      <c r="L266" s="189"/>
      <c r="M266" s="189"/>
      <c r="N266" s="189"/>
    </row>
    <row r="267" spans="2:14" x14ac:dyDescent="0.15">
      <c r="B267" s="189"/>
      <c r="C267" s="189"/>
      <c r="D267" s="189">
        <v>3600</v>
      </c>
      <c r="E267" s="93">
        <v>3</v>
      </c>
      <c r="F267" s="93">
        <f t="shared" ref="F267" si="144">IF(D267/VLOOKUP(E267,$B$222:$E$241,3,0)=0,D267/VLOOKUP(E267,$B$222:$E$241,3,0),INT(D267/VLOOKUP(E267,$B$222:$E$241,3,0))+1)</f>
        <v>19</v>
      </c>
      <c r="G267" s="93">
        <f t="shared" si="141"/>
        <v>8</v>
      </c>
      <c r="H267" s="93">
        <f t="shared" si="142"/>
        <v>1530</v>
      </c>
      <c r="I267" s="88">
        <f t="shared" si="143"/>
        <v>11.479161600000001</v>
      </c>
      <c r="J267" s="201"/>
      <c r="K267" s="189"/>
      <c r="L267" s="189"/>
      <c r="M267" s="189"/>
      <c r="N267" s="189"/>
    </row>
    <row r="268" spans="2:14" x14ac:dyDescent="0.15">
      <c r="B268" s="189"/>
      <c r="C268" s="189"/>
      <c r="D268" s="189"/>
      <c r="E268" s="93">
        <v>2</v>
      </c>
      <c r="F268" s="93">
        <f>IF(D267/VLOOKUP(E268,$B$222:$E$241,3,0)=0,D267/VLOOKUP(E268,$B$222:$E$241,3,0),INT(D267/VLOOKUP(E268,$B$222:$E$241,3,0))+1)</f>
        <v>25</v>
      </c>
      <c r="G268" s="93">
        <f t="shared" si="141"/>
        <v>8</v>
      </c>
      <c r="H268" s="93">
        <f t="shared" si="142"/>
        <v>7049</v>
      </c>
      <c r="I268" s="88">
        <f>F268*(G268/10)^2*0.617*H268/1000</f>
        <v>69.587728000000013</v>
      </c>
      <c r="J268" s="201"/>
      <c r="K268" s="189"/>
      <c r="L268" s="189"/>
      <c r="M268" s="189"/>
      <c r="N268" s="189"/>
    </row>
    <row r="269" spans="2:14" x14ac:dyDescent="0.15">
      <c r="B269" s="189"/>
      <c r="C269" s="189"/>
      <c r="D269" s="189"/>
      <c r="E269" s="93">
        <v>3</v>
      </c>
      <c r="F269" s="93">
        <f>IF(D267/VLOOKUP(E269,$B$222:$E$241,3,0)=0,D267/VLOOKUP(E269,$B$222:$E$241,3,0),INT(D267/VLOOKUP(E269,$B$222:$E$241,3,0))+1)</f>
        <v>19</v>
      </c>
      <c r="G269" s="93">
        <f t="shared" si="141"/>
        <v>8</v>
      </c>
      <c r="H269" s="93">
        <f t="shared" si="142"/>
        <v>1530</v>
      </c>
      <c r="I269" s="88">
        <f t="shared" ref="I269" si="145">F269*(G269/10)^2*0.617*H269/1000</f>
        <v>11.479161600000001</v>
      </c>
      <c r="J269" s="202"/>
      <c r="K269" s="189"/>
      <c r="L269" s="189"/>
      <c r="M269" s="189"/>
      <c r="N269" s="189"/>
    </row>
    <row r="270" spans="2:14" x14ac:dyDescent="0.15">
      <c r="B270" s="202">
        <v>5</v>
      </c>
      <c r="C270" s="202">
        <v>1</v>
      </c>
      <c r="D270" s="202">
        <v>6600</v>
      </c>
      <c r="E270" s="99">
        <v>4</v>
      </c>
      <c r="F270" s="99">
        <f>IF(D270/VLOOKUP(E270,$B$222:$E$241,3,0)=0,D270/VLOOKUP(E270,$B$222:$E$241,3,0),INT(D270/VLOOKUP(E270,$B$222:$E$241,3,0))+1)</f>
        <v>45</v>
      </c>
      <c r="G270" s="99">
        <f>VLOOKUP(E270,$B$222:$E$241,2,0)</f>
        <v>12</v>
      </c>
      <c r="H270" s="99">
        <f>VLOOKUP(E270,$B$222:$E$241,4,0)</f>
        <v>1430</v>
      </c>
      <c r="I270" s="89">
        <f>F270*(G270/10)^2*0.617*H270/1000</f>
        <v>57.173687999999999</v>
      </c>
      <c r="J270" s="203">
        <f t="shared" ref="J270" si="146">SUM(I270:I275)</f>
        <v>302.66774580000003</v>
      </c>
      <c r="K270" s="202">
        <f>PRODUCT(D270:D275)/10^6</f>
        <v>23.76</v>
      </c>
      <c r="L270" s="202">
        <f t="shared" ref="L270" si="147">K270*$L$244</f>
        <v>2.8512</v>
      </c>
      <c r="M270" s="202"/>
      <c r="N270" s="202">
        <v>1</v>
      </c>
    </row>
    <row r="271" spans="2:14" x14ac:dyDescent="0.15">
      <c r="B271" s="189"/>
      <c r="C271" s="189"/>
      <c r="D271" s="189"/>
      <c r="E271" s="93">
        <v>20</v>
      </c>
      <c r="F271" s="93">
        <f>IF(D270/VLOOKUP(E271,$B$222:$E$241,3,0)=0,D270/VLOOKUP(E271,$B$222:$E$241,3,0),INT(D270/VLOOKUP(E271,$B$222:$E$241,3,0))+1)</f>
        <v>53</v>
      </c>
      <c r="G271" s="93">
        <f t="shared" ref="G271:G275" si="148">VLOOKUP(E271,$B$222:$E$241,2,0)</f>
        <v>10</v>
      </c>
      <c r="H271" s="93">
        <f t="shared" ref="H271:H275" si="149">VLOOKUP(E271,$B$222:$E$241,4,0)</f>
        <v>4049</v>
      </c>
      <c r="I271" s="88">
        <f>F271*(G271/10)^2*0.617*H271/1000</f>
        <v>132.40634900000001</v>
      </c>
      <c r="J271" s="201"/>
      <c r="K271" s="189"/>
      <c r="L271" s="189"/>
      <c r="M271" s="189"/>
      <c r="N271" s="189"/>
    </row>
    <row r="272" spans="2:14" x14ac:dyDescent="0.15">
      <c r="B272" s="189"/>
      <c r="C272" s="189"/>
      <c r="D272" s="189"/>
      <c r="E272" s="93">
        <v>3</v>
      </c>
      <c r="F272" s="93">
        <f>IF(D270/VLOOKUP(E272,$B$222:$E$241,3,0)=0,D270/VLOOKUP(E272,$B$222:$E$241,3,0),INT(D270/VLOOKUP(E272,$B$222:$E$241,3,0))+1)</f>
        <v>34</v>
      </c>
      <c r="G272" s="93">
        <f t="shared" si="148"/>
        <v>8</v>
      </c>
      <c r="H272" s="93">
        <f t="shared" si="149"/>
        <v>1530</v>
      </c>
      <c r="I272" s="88">
        <f t="shared" ref="I272:I273" si="150">F272*(G272/10)^2*0.617*H272/1000</f>
        <v>20.541657600000004</v>
      </c>
      <c r="J272" s="201"/>
      <c r="K272" s="189"/>
      <c r="L272" s="189"/>
      <c r="M272" s="189"/>
      <c r="N272" s="189"/>
    </row>
    <row r="273" spans="2:14" x14ac:dyDescent="0.15">
      <c r="B273" s="189"/>
      <c r="C273" s="189"/>
      <c r="D273" s="189">
        <v>3600</v>
      </c>
      <c r="E273" s="93">
        <v>3</v>
      </c>
      <c r="F273" s="93">
        <f t="shared" ref="F273" si="151">IF(D273/VLOOKUP(E273,$B$222:$E$241,3,0)=0,D273/VLOOKUP(E273,$B$222:$E$241,3,0),INT(D273/VLOOKUP(E273,$B$222:$E$241,3,0))+1)</f>
        <v>19</v>
      </c>
      <c r="G273" s="93">
        <f t="shared" si="148"/>
        <v>8</v>
      </c>
      <c r="H273" s="93">
        <f t="shared" si="149"/>
        <v>1530</v>
      </c>
      <c r="I273" s="88">
        <f t="shared" si="150"/>
        <v>11.479161600000001</v>
      </c>
      <c r="J273" s="201"/>
      <c r="K273" s="189"/>
      <c r="L273" s="189"/>
      <c r="M273" s="189"/>
      <c r="N273" s="189"/>
    </row>
    <row r="274" spans="2:14" x14ac:dyDescent="0.15">
      <c r="B274" s="189"/>
      <c r="C274" s="189"/>
      <c r="D274" s="189"/>
      <c r="E274" s="93">
        <v>2</v>
      </c>
      <c r="F274" s="93">
        <f>IF(D273/VLOOKUP(E274,$B$222:$E$241,3,0)=0,D273/VLOOKUP(E274,$B$222:$E$241,3,0),INT(D273/VLOOKUP(E274,$B$222:$E$241,3,0))+1)</f>
        <v>25</v>
      </c>
      <c r="G274" s="93">
        <f t="shared" si="148"/>
        <v>8</v>
      </c>
      <c r="H274" s="93">
        <f t="shared" si="149"/>
        <v>7049</v>
      </c>
      <c r="I274" s="88">
        <f>F274*(G274/10)^2*0.617*H274/1000</f>
        <v>69.587728000000013</v>
      </c>
      <c r="J274" s="201"/>
      <c r="K274" s="189"/>
      <c r="L274" s="189"/>
      <c r="M274" s="189"/>
      <c r="N274" s="189"/>
    </row>
    <row r="275" spans="2:14" x14ac:dyDescent="0.15">
      <c r="B275" s="189"/>
      <c r="C275" s="189"/>
      <c r="D275" s="189"/>
      <c r="E275" s="93">
        <v>3</v>
      </c>
      <c r="F275" s="93">
        <f>IF(D273/VLOOKUP(E275,$B$222:$E$241,3,0)=0,D273/VLOOKUP(E275,$B$222:$E$241,3,0),INT(D273/VLOOKUP(E275,$B$222:$E$241,3,0))+1)</f>
        <v>19</v>
      </c>
      <c r="G275" s="93">
        <f t="shared" si="148"/>
        <v>8</v>
      </c>
      <c r="H275" s="93">
        <f t="shared" si="149"/>
        <v>1530</v>
      </c>
      <c r="I275" s="88">
        <f t="shared" ref="I275" si="152">F275*(G275/10)^2*0.617*H275/1000</f>
        <v>11.479161600000001</v>
      </c>
      <c r="J275" s="202"/>
      <c r="K275" s="189"/>
      <c r="L275" s="189"/>
      <c r="M275" s="189"/>
      <c r="N275" s="189"/>
    </row>
    <row r="276" spans="2:14" x14ac:dyDescent="0.15">
      <c r="B276" s="202">
        <v>6</v>
      </c>
      <c r="C276" s="202">
        <v>1</v>
      </c>
      <c r="D276" s="202">
        <v>6600</v>
      </c>
      <c r="E276" s="99">
        <v>4</v>
      </c>
      <c r="F276" s="99">
        <f>IF(D276/VLOOKUP(E276,$B$222:$E$241,3,0)=0,D276/VLOOKUP(E276,$B$222:$E$241,3,0),INT(D276/VLOOKUP(E276,$B$222:$E$241,3,0))+1)</f>
        <v>45</v>
      </c>
      <c r="G276" s="99">
        <f>VLOOKUP(E276,$B$222:$E$241,2,0)</f>
        <v>12</v>
      </c>
      <c r="H276" s="99">
        <f>VLOOKUP(E276,$B$222:$E$241,4,0)</f>
        <v>1430</v>
      </c>
      <c r="I276" s="89">
        <f>F276*(G276/10)^2*0.617*H276/1000</f>
        <v>57.173687999999999</v>
      </c>
      <c r="J276" s="203">
        <f t="shared" ref="J276" si="153">SUM(I276:I281)</f>
        <v>290.31103744000006</v>
      </c>
      <c r="K276" s="202">
        <f>PRODUCT(D276:D281)/10^6</f>
        <v>23.76</v>
      </c>
      <c r="L276" s="202">
        <f t="shared" ref="L276" si="154">K276*$L$244</f>
        <v>2.8512</v>
      </c>
      <c r="M276" s="202"/>
      <c r="N276" s="202">
        <v>1</v>
      </c>
    </row>
    <row r="277" spans="2:14" x14ac:dyDescent="0.15">
      <c r="B277" s="189"/>
      <c r="C277" s="189"/>
      <c r="D277" s="189"/>
      <c r="E277" s="93">
        <v>19</v>
      </c>
      <c r="F277" s="93">
        <f>IF(D276/VLOOKUP(E277,$B$222:$E$241,3,0)=0,D276/VLOOKUP(E277,$B$222:$E$241,3,0),INT(D276/VLOOKUP(E277,$B$222:$E$241,3,0))+1)</f>
        <v>67</v>
      </c>
      <c r="G277" s="93">
        <f t="shared" ref="G277:G281" si="155">VLOOKUP(E277,$B$222:$E$241,2,0)</f>
        <v>8</v>
      </c>
      <c r="H277" s="93">
        <f t="shared" ref="H277:H281" si="156">VLOOKUP(E277,$B$222:$E$241,4,0)</f>
        <v>4059</v>
      </c>
      <c r="I277" s="88">
        <f>F277*(G277/10)^2*0.617*H277/1000</f>
        <v>107.38880064000003</v>
      </c>
      <c r="J277" s="201"/>
      <c r="K277" s="189"/>
      <c r="L277" s="189"/>
      <c r="M277" s="189"/>
      <c r="N277" s="189"/>
    </row>
    <row r="278" spans="2:14" x14ac:dyDescent="0.15">
      <c r="B278" s="189"/>
      <c r="C278" s="189"/>
      <c r="D278" s="189"/>
      <c r="E278" s="93">
        <v>3</v>
      </c>
      <c r="F278" s="93">
        <f>IF(D276/VLOOKUP(E278,$B$222:$E$241,3,0)=0,D276/VLOOKUP(E278,$B$222:$E$241,3,0),INT(D276/VLOOKUP(E278,$B$222:$E$241,3,0))+1)</f>
        <v>34</v>
      </c>
      <c r="G278" s="93">
        <f t="shared" si="155"/>
        <v>8</v>
      </c>
      <c r="H278" s="93">
        <f t="shared" si="156"/>
        <v>1530</v>
      </c>
      <c r="I278" s="88">
        <f t="shared" ref="I278:I279" si="157">F278*(G278/10)^2*0.617*H278/1000</f>
        <v>20.541657600000004</v>
      </c>
      <c r="J278" s="201"/>
      <c r="K278" s="189"/>
      <c r="L278" s="189"/>
      <c r="M278" s="189"/>
      <c r="N278" s="189"/>
    </row>
    <row r="279" spans="2:14" x14ac:dyDescent="0.15">
      <c r="B279" s="189"/>
      <c r="C279" s="189"/>
      <c r="D279" s="189">
        <v>3600</v>
      </c>
      <c r="E279" s="93">
        <v>5</v>
      </c>
      <c r="F279" s="93">
        <f t="shared" ref="F279" si="158">IF(D279/VLOOKUP(E279,$B$222:$E$241,3,0)=0,D279/VLOOKUP(E279,$B$222:$E$241,3,0),INT(D279/VLOOKUP(E279,$B$222:$E$241,3,0))+1)</f>
        <v>19</v>
      </c>
      <c r="G279" s="93">
        <f t="shared" si="155"/>
        <v>12</v>
      </c>
      <c r="H279" s="93">
        <f t="shared" si="156"/>
        <v>1430</v>
      </c>
      <c r="I279" s="88">
        <f t="shared" si="157"/>
        <v>24.140001599999998</v>
      </c>
      <c r="J279" s="201"/>
      <c r="K279" s="189"/>
      <c r="L279" s="189"/>
      <c r="M279" s="189"/>
      <c r="N279" s="189"/>
    </row>
    <row r="280" spans="2:14" x14ac:dyDescent="0.15">
      <c r="B280" s="189"/>
      <c r="C280" s="189"/>
      <c r="D280" s="189"/>
      <c r="E280" s="93">
        <v>2</v>
      </c>
      <c r="F280" s="93">
        <f>IF(D279/VLOOKUP(E280,$B$222:$E$241,3,0)=0,D279/VLOOKUP(E280,$B$222:$E$241,3,0),INT(D279/VLOOKUP(E280,$B$222:$E$241,3,0))+1)</f>
        <v>25</v>
      </c>
      <c r="G280" s="93">
        <f t="shared" si="155"/>
        <v>8</v>
      </c>
      <c r="H280" s="93">
        <f t="shared" si="156"/>
        <v>7049</v>
      </c>
      <c r="I280" s="88">
        <f>F280*(G280/10)^2*0.617*H280/1000</f>
        <v>69.587728000000013</v>
      </c>
      <c r="J280" s="201"/>
      <c r="K280" s="189"/>
      <c r="L280" s="189"/>
      <c r="M280" s="189"/>
      <c r="N280" s="189"/>
    </row>
    <row r="281" spans="2:14" x14ac:dyDescent="0.15">
      <c r="B281" s="189"/>
      <c r="C281" s="189"/>
      <c r="D281" s="189"/>
      <c r="E281" s="93">
        <v>3</v>
      </c>
      <c r="F281" s="93">
        <f>IF(D279/VLOOKUP(E281,$B$222:$E$241,3,0)=0,D279/VLOOKUP(E281,$B$222:$E$241,3,0),INT(D279/VLOOKUP(E281,$B$222:$E$241,3,0))+1)</f>
        <v>19</v>
      </c>
      <c r="G281" s="93">
        <f t="shared" si="155"/>
        <v>8</v>
      </c>
      <c r="H281" s="93">
        <f t="shared" si="156"/>
        <v>1530</v>
      </c>
      <c r="I281" s="88">
        <f t="shared" ref="I281" si="159">F281*(G281/10)^2*0.617*H281/1000</f>
        <v>11.479161600000001</v>
      </c>
      <c r="J281" s="202"/>
      <c r="K281" s="189"/>
      <c r="L281" s="189"/>
      <c r="M281" s="189"/>
      <c r="N281" s="189"/>
    </row>
    <row r="282" spans="2:14" x14ac:dyDescent="0.15">
      <c r="B282" s="202">
        <v>7</v>
      </c>
      <c r="C282" s="202">
        <v>1</v>
      </c>
      <c r="D282" s="202">
        <v>6600</v>
      </c>
      <c r="E282" s="99">
        <v>5</v>
      </c>
      <c r="F282" s="99">
        <f>IF(D282/VLOOKUP(E282,$B$222:$E$241,3,0)=0,D282/VLOOKUP(E282,$B$222:$E$241,3,0),INT(D282/VLOOKUP(E282,$B$222:$E$241,3,0))+1)</f>
        <v>34</v>
      </c>
      <c r="G282" s="99">
        <f>VLOOKUP(E282,$B$222:$E$241,2,0)</f>
        <v>12</v>
      </c>
      <c r="H282" s="99">
        <f>VLOOKUP(E282,$B$222:$E$241,4,0)</f>
        <v>1430</v>
      </c>
      <c r="I282" s="89">
        <f>F282*(G282/10)^2*0.617*H282/1000</f>
        <v>43.197897600000005</v>
      </c>
      <c r="J282" s="203">
        <f t="shared" ref="J282" si="160">SUM(I282:I287)</f>
        <v>288.49167720000003</v>
      </c>
      <c r="K282" s="202">
        <f>PRODUCT(D282:D287)/10^6</f>
        <v>23.76</v>
      </c>
      <c r="L282" s="202">
        <f t="shared" ref="L282" si="161">K282*$L$244</f>
        <v>2.8512</v>
      </c>
      <c r="M282" s="202"/>
      <c r="N282" s="202">
        <v>1</v>
      </c>
    </row>
    <row r="283" spans="2:14" x14ac:dyDescent="0.15">
      <c r="B283" s="189"/>
      <c r="C283" s="189"/>
      <c r="D283" s="189"/>
      <c r="E283" s="93">
        <v>10</v>
      </c>
      <c r="F283" s="93">
        <f>IF(D282/VLOOKUP(E283,$B$222:$E$241,3,0)=0,D282/VLOOKUP(E283,$B$222:$E$241,3,0),INT(D282/VLOOKUP(E283,$B$222:$E$241,3,0))+1)</f>
        <v>34</v>
      </c>
      <c r="G283" s="93">
        <f t="shared" ref="G283:G287" si="162">VLOOKUP(E283,$B$222:$E$241,2,0)</f>
        <v>10</v>
      </c>
      <c r="H283" s="93">
        <f t="shared" ref="H283:H287" si="163">VLOOKUP(E283,$B$222:$E$241,4,0)</f>
        <v>4054</v>
      </c>
      <c r="I283" s="88">
        <f>F283*(G283/10)^2*0.617*H283/1000</f>
        <v>85.044812000000007</v>
      </c>
      <c r="J283" s="201"/>
      <c r="K283" s="189"/>
      <c r="L283" s="189"/>
      <c r="M283" s="189"/>
      <c r="N283" s="189"/>
    </row>
    <row r="284" spans="2:14" x14ac:dyDescent="0.15">
      <c r="B284" s="189"/>
      <c r="C284" s="189"/>
      <c r="D284" s="189"/>
      <c r="E284" s="93">
        <v>4</v>
      </c>
      <c r="F284" s="93">
        <f>IF(D282/VLOOKUP(E284,$B$222:$E$241,3,0)=0,D282/VLOOKUP(E284,$B$222:$E$241,3,0),INT(D282/VLOOKUP(E284,$B$222:$E$241,3,0))+1)</f>
        <v>45</v>
      </c>
      <c r="G284" s="93">
        <f t="shared" si="162"/>
        <v>12</v>
      </c>
      <c r="H284" s="93">
        <f t="shared" si="163"/>
        <v>1430</v>
      </c>
      <c r="I284" s="88">
        <f t="shared" ref="I284:I285" si="164">F284*(G284/10)^2*0.617*H284/1000</f>
        <v>57.173687999999999</v>
      </c>
      <c r="J284" s="201"/>
      <c r="K284" s="189"/>
      <c r="L284" s="189"/>
      <c r="M284" s="189"/>
      <c r="N284" s="189"/>
    </row>
    <row r="285" spans="2:14" x14ac:dyDescent="0.15">
      <c r="B285" s="189"/>
      <c r="C285" s="189"/>
      <c r="D285" s="189">
        <v>3600</v>
      </c>
      <c r="E285" s="93">
        <v>15</v>
      </c>
      <c r="F285" s="93">
        <f t="shared" ref="F285" si="165">IF(D285/VLOOKUP(E285,$B$222:$E$241,3,0)=0,D285/VLOOKUP(E285,$B$222:$E$241,3,0),INT(D285/VLOOKUP(E285,$B$222:$E$241,3,0))+1)</f>
        <v>29</v>
      </c>
      <c r="G285" s="93">
        <f t="shared" si="162"/>
        <v>10</v>
      </c>
      <c r="H285" s="93">
        <f t="shared" si="163"/>
        <v>1230</v>
      </c>
      <c r="I285" s="88">
        <f t="shared" si="164"/>
        <v>22.008389999999999</v>
      </c>
      <c r="J285" s="201"/>
      <c r="K285" s="189"/>
      <c r="L285" s="189"/>
      <c r="M285" s="189"/>
      <c r="N285" s="189"/>
    </row>
    <row r="286" spans="2:14" x14ac:dyDescent="0.15">
      <c r="B286" s="189"/>
      <c r="C286" s="189"/>
      <c r="D286" s="189"/>
      <c r="E286" s="93">
        <v>2</v>
      </c>
      <c r="F286" s="93">
        <f>IF(D285/VLOOKUP(E286,$B$222:$E$241,3,0)=0,D285/VLOOKUP(E286,$B$222:$E$241,3,0),INT(D285/VLOOKUP(E286,$B$222:$E$241,3,0))+1)</f>
        <v>25</v>
      </c>
      <c r="G286" s="93">
        <f t="shared" si="162"/>
        <v>8</v>
      </c>
      <c r="H286" s="93">
        <f t="shared" si="163"/>
        <v>7049</v>
      </c>
      <c r="I286" s="88">
        <f>F286*(G286/10)^2*0.617*H286/1000</f>
        <v>69.587728000000013</v>
      </c>
      <c r="J286" s="201"/>
      <c r="K286" s="189"/>
      <c r="L286" s="189"/>
      <c r="M286" s="189"/>
      <c r="N286" s="189"/>
    </row>
    <row r="287" spans="2:14" x14ac:dyDescent="0.15">
      <c r="B287" s="189"/>
      <c r="C287" s="189"/>
      <c r="D287" s="189"/>
      <c r="E287" s="93">
        <v>3</v>
      </c>
      <c r="F287" s="93">
        <f>IF(D285/VLOOKUP(E287,$B$222:$E$241,3,0)=0,D285/VLOOKUP(E287,$B$222:$E$241,3,0),INT(D285/VLOOKUP(E287,$B$222:$E$241,3,0))+1)</f>
        <v>19</v>
      </c>
      <c r="G287" s="93">
        <f t="shared" si="162"/>
        <v>8</v>
      </c>
      <c r="H287" s="93">
        <f t="shared" si="163"/>
        <v>1530</v>
      </c>
      <c r="I287" s="88">
        <f t="shared" ref="I287" si="166">F287*(G287/10)^2*0.617*H287/1000</f>
        <v>11.479161600000001</v>
      </c>
      <c r="J287" s="202"/>
      <c r="K287" s="189"/>
      <c r="L287" s="189"/>
      <c r="M287" s="189"/>
      <c r="N287" s="189"/>
    </row>
    <row r="288" spans="2:14" x14ac:dyDescent="0.15">
      <c r="B288" s="202">
        <v>8</v>
      </c>
      <c r="C288" s="202">
        <v>8</v>
      </c>
      <c r="D288" s="202">
        <v>6600</v>
      </c>
      <c r="E288" s="99">
        <v>5</v>
      </c>
      <c r="F288" s="99">
        <f>IF(D288/VLOOKUP(E288,$B$222:$E$241,3,0)=0,D288/VLOOKUP(E288,$B$222:$E$241,3,0),INT(D288/VLOOKUP(E288,$B$222:$E$241,3,0))+1)</f>
        <v>34</v>
      </c>
      <c r="G288" s="99">
        <f>VLOOKUP(E288,$B$222:$E$241,2,0)</f>
        <v>12</v>
      </c>
      <c r="H288" s="99">
        <f>VLOOKUP(E288,$B$222:$E$241,4,0)</f>
        <v>1430</v>
      </c>
      <c r="I288" s="89">
        <f>F288*(G288/10)^2*0.617*H288/1000</f>
        <v>43.197897600000005</v>
      </c>
      <c r="J288" s="203">
        <f t="shared" ref="J288" si="167">SUM(I288:I293)</f>
        <v>270.47848560000006</v>
      </c>
      <c r="K288" s="202">
        <f>PRODUCT(D288:D293)/10^6</f>
        <v>23.76</v>
      </c>
      <c r="L288" s="202">
        <f t="shared" ref="L288" si="168">K288*$L$244</f>
        <v>2.8512</v>
      </c>
      <c r="M288" s="202">
        <v>4</v>
      </c>
      <c r="N288" s="202">
        <v>4</v>
      </c>
    </row>
    <row r="289" spans="2:14" x14ac:dyDescent="0.15">
      <c r="B289" s="189"/>
      <c r="C289" s="189"/>
      <c r="D289" s="189"/>
      <c r="E289" s="93">
        <v>10</v>
      </c>
      <c r="F289" s="93">
        <f>IF(D288/VLOOKUP(E289,$B$222:$E$241,3,0)=0,D288/VLOOKUP(E289,$B$222:$E$241,3,0),INT(D288/VLOOKUP(E289,$B$222:$E$241,3,0))+1)</f>
        <v>34</v>
      </c>
      <c r="G289" s="93">
        <f t="shared" ref="G289:G293" si="169">VLOOKUP(E289,$B$222:$E$241,2,0)</f>
        <v>10</v>
      </c>
      <c r="H289" s="93">
        <f t="shared" ref="H289:H293" si="170">VLOOKUP(E289,$B$222:$E$241,4,0)</f>
        <v>4054</v>
      </c>
      <c r="I289" s="88">
        <f>F289*(G289/10)^2*0.617*H289/1000</f>
        <v>85.044812000000007</v>
      </c>
      <c r="J289" s="201"/>
      <c r="K289" s="189"/>
      <c r="L289" s="189"/>
      <c r="M289" s="189"/>
      <c r="N289" s="189"/>
    </row>
    <row r="290" spans="2:14" x14ac:dyDescent="0.15">
      <c r="B290" s="189"/>
      <c r="C290" s="189"/>
      <c r="D290" s="189"/>
      <c r="E290" s="93">
        <v>5</v>
      </c>
      <c r="F290" s="93">
        <f>IF(D288/VLOOKUP(E290,$B$222:$E$241,3,0)=0,D288/VLOOKUP(E290,$B$222:$E$241,3,0),INT(D288/VLOOKUP(E290,$B$222:$E$241,3,0))+1)</f>
        <v>34</v>
      </c>
      <c r="G290" s="93">
        <f t="shared" si="169"/>
        <v>12</v>
      </c>
      <c r="H290" s="93">
        <f t="shared" si="170"/>
        <v>1430</v>
      </c>
      <c r="I290" s="88">
        <f t="shared" ref="I290:I291" si="171">F290*(G290/10)^2*0.617*H290/1000</f>
        <v>43.197897600000005</v>
      </c>
      <c r="J290" s="201"/>
      <c r="K290" s="189"/>
      <c r="L290" s="189"/>
      <c r="M290" s="189"/>
      <c r="N290" s="189"/>
    </row>
    <row r="291" spans="2:14" x14ac:dyDescent="0.15">
      <c r="B291" s="189"/>
      <c r="C291" s="189"/>
      <c r="D291" s="189">
        <v>3600</v>
      </c>
      <c r="E291" s="93">
        <v>11</v>
      </c>
      <c r="F291" s="93">
        <f t="shared" ref="F291" si="172">IF(D291/VLOOKUP(E291,$B$222:$E$241,3,0)=0,D291/VLOOKUP(E291,$B$222:$E$241,3,0),INT(D291/VLOOKUP(E291,$B$222:$E$241,3,0))+1)</f>
        <v>37</v>
      </c>
      <c r="G291" s="93">
        <f t="shared" si="169"/>
        <v>8</v>
      </c>
      <c r="H291" s="93">
        <f t="shared" si="170"/>
        <v>1230</v>
      </c>
      <c r="I291" s="88">
        <f t="shared" si="171"/>
        <v>17.970988800000004</v>
      </c>
      <c r="J291" s="201"/>
      <c r="K291" s="189"/>
      <c r="L291" s="189"/>
      <c r="M291" s="189"/>
      <c r="N291" s="189"/>
    </row>
    <row r="292" spans="2:14" x14ac:dyDescent="0.15">
      <c r="B292" s="189"/>
      <c r="C292" s="189"/>
      <c r="D292" s="189"/>
      <c r="E292" s="93">
        <v>2</v>
      </c>
      <c r="F292" s="93">
        <f>IF(D291/VLOOKUP(E292,$B$222:$E$241,3,0)=0,D291/VLOOKUP(E292,$B$222:$E$241,3,0),INT(D291/VLOOKUP(E292,$B$222:$E$241,3,0))+1)</f>
        <v>25</v>
      </c>
      <c r="G292" s="93">
        <f t="shared" si="169"/>
        <v>8</v>
      </c>
      <c r="H292" s="93">
        <f t="shared" si="170"/>
        <v>7049</v>
      </c>
      <c r="I292" s="88">
        <f>F292*(G292/10)^2*0.617*H292/1000</f>
        <v>69.587728000000013</v>
      </c>
      <c r="J292" s="201"/>
      <c r="K292" s="189"/>
      <c r="L292" s="189"/>
      <c r="M292" s="189"/>
      <c r="N292" s="189"/>
    </row>
    <row r="293" spans="2:14" x14ac:dyDescent="0.15">
      <c r="B293" s="189"/>
      <c r="C293" s="189"/>
      <c r="D293" s="189"/>
      <c r="E293" s="93">
        <v>3</v>
      </c>
      <c r="F293" s="93">
        <f>IF(D291/VLOOKUP(E293,$B$222:$E$241,3,0)=0,D291/VLOOKUP(E293,$B$222:$E$241,3,0),INT(D291/VLOOKUP(E293,$B$222:$E$241,3,0))+1)</f>
        <v>19</v>
      </c>
      <c r="G293" s="93">
        <f t="shared" si="169"/>
        <v>8</v>
      </c>
      <c r="H293" s="93">
        <f t="shared" si="170"/>
        <v>1530</v>
      </c>
      <c r="I293" s="88">
        <f t="shared" ref="I293" si="173">F293*(G293/10)^2*0.617*H293/1000</f>
        <v>11.479161600000001</v>
      </c>
      <c r="J293" s="202"/>
      <c r="K293" s="189"/>
      <c r="L293" s="189"/>
      <c r="M293" s="189"/>
      <c r="N293" s="189"/>
    </row>
    <row r="294" spans="2:14" x14ac:dyDescent="0.15">
      <c r="B294" s="202">
        <v>9</v>
      </c>
      <c r="C294" s="202">
        <v>1</v>
      </c>
      <c r="D294" s="202">
        <v>6600</v>
      </c>
      <c r="E294" s="99">
        <v>4</v>
      </c>
      <c r="F294" s="99">
        <f>IF(D294/VLOOKUP(E294,$B$222:$E$241,3,0)=0,D294/VLOOKUP(E294,$B$222:$E$241,3,0),INT(D294/VLOOKUP(E294,$B$222:$E$241,3,0))+1)</f>
        <v>45</v>
      </c>
      <c r="G294" s="99">
        <f>VLOOKUP(E294,$B$222:$E$241,2,0)</f>
        <v>12</v>
      </c>
      <c r="H294" s="99">
        <f>VLOOKUP(E294,$B$222:$E$241,4,0)</f>
        <v>1430</v>
      </c>
      <c r="I294" s="89">
        <f>F294*(G294/10)^2*0.617*H294/1000</f>
        <v>57.173687999999999</v>
      </c>
      <c r="J294" s="203">
        <f t="shared" ref="J294" si="174">SUM(I294:I299)</f>
        <v>284.45427600000005</v>
      </c>
      <c r="K294" s="202">
        <f>PRODUCT(D294:D299)/10^6</f>
        <v>23.76</v>
      </c>
      <c r="L294" s="202">
        <f t="shared" ref="L294" si="175">K294*$L$244</f>
        <v>2.8512</v>
      </c>
      <c r="M294" s="202">
        <v>1</v>
      </c>
      <c r="N294" s="202"/>
    </row>
    <row r="295" spans="2:14" x14ac:dyDescent="0.15">
      <c r="B295" s="189"/>
      <c r="C295" s="189"/>
      <c r="D295" s="189"/>
      <c r="E295" s="93">
        <v>10</v>
      </c>
      <c r="F295" s="93">
        <f>IF(D294/VLOOKUP(E295,$B$222:$E$241,3,0)=0,D294/VLOOKUP(E295,$B$222:$E$241,3,0),INT(D294/VLOOKUP(E295,$B$222:$E$241,3,0))+1)</f>
        <v>34</v>
      </c>
      <c r="G295" s="93">
        <f t="shared" ref="G295:G299" si="176">VLOOKUP(E295,$B$222:$E$241,2,0)</f>
        <v>10</v>
      </c>
      <c r="H295" s="93">
        <f t="shared" ref="H295:H299" si="177">VLOOKUP(E295,$B$222:$E$241,4,0)</f>
        <v>4054</v>
      </c>
      <c r="I295" s="88">
        <f>F295*(G295/10)^2*0.617*H295/1000</f>
        <v>85.044812000000007</v>
      </c>
      <c r="J295" s="201"/>
      <c r="K295" s="189"/>
      <c r="L295" s="189"/>
      <c r="M295" s="189"/>
      <c r="N295" s="189"/>
    </row>
    <row r="296" spans="2:14" x14ac:dyDescent="0.15">
      <c r="B296" s="189"/>
      <c r="C296" s="189"/>
      <c r="D296" s="189"/>
      <c r="E296" s="93">
        <v>5</v>
      </c>
      <c r="F296" s="93">
        <f>IF(D294/VLOOKUP(E296,$B$222:$E$241,3,0)=0,D294/VLOOKUP(E296,$B$222:$E$241,3,0),INT(D294/VLOOKUP(E296,$B$222:$E$241,3,0))+1)</f>
        <v>34</v>
      </c>
      <c r="G296" s="93">
        <f t="shared" si="176"/>
        <v>12</v>
      </c>
      <c r="H296" s="93">
        <f t="shared" si="177"/>
        <v>1430</v>
      </c>
      <c r="I296" s="88">
        <f t="shared" ref="I296:I297" si="178">F296*(G296/10)^2*0.617*H296/1000</f>
        <v>43.197897600000005</v>
      </c>
      <c r="J296" s="201"/>
      <c r="K296" s="189"/>
      <c r="L296" s="189"/>
      <c r="M296" s="189"/>
      <c r="N296" s="189"/>
    </row>
    <row r="297" spans="2:14" x14ac:dyDescent="0.15">
      <c r="B297" s="189"/>
      <c r="C297" s="189"/>
      <c r="D297" s="189">
        <v>3600</v>
      </c>
      <c r="E297" s="93">
        <v>11</v>
      </c>
      <c r="F297" s="93">
        <f t="shared" ref="F297" si="179">IF(D297/VLOOKUP(E297,$B$222:$E$241,3,0)=0,D297/VLOOKUP(E297,$B$222:$E$241,3,0),INT(D297/VLOOKUP(E297,$B$222:$E$241,3,0))+1)</f>
        <v>37</v>
      </c>
      <c r="G297" s="93">
        <f t="shared" si="176"/>
        <v>8</v>
      </c>
      <c r="H297" s="93">
        <f t="shared" si="177"/>
        <v>1230</v>
      </c>
      <c r="I297" s="88">
        <f t="shared" si="178"/>
        <v>17.970988800000004</v>
      </c>
      <c r="J297" s="201"/>
      <c r="K297" s="189"/>
      <c r="L297" s="189"/>
      <c r="M297" s="189"/>
      <c r="N297" s="189"/>
    </row>
    <row r="298" spans="2:14" x14ac:dyDescent="0.15">
      <c r="B298" s="189"/>
      <c r="C298" s="189"/>
      <c r="D298" s="189"/>
      <c r="E298" s="93">
        <v>2</v>
      </c>
      <c r="F298" s="93">
        <f>IF(D297/VLOOKUP(E298,$B$222:$E$241,3,0)=0,D297/VLOOKUP(E298,$B$222:$E$241,3,0),INT(D297/VLOOKUP(E298,$B$222:$E$241,3,0))+1)</f>
        <v>25</v>
      </c>
      <c r="G298" s="93">
        <f t="shared" si="176"/>
        <v>8</v>
      </c>
      <c r="H298" s="93">
        <f t="shared" si="177"/>
        <v>7049</v>
      </c>
      <c r="I298" s="88">
        <f>F298*(G298/10)^2*0.617*H298/1000</f>
        <v>69.587728000000013</v>
      </c>
      <c r="J298" s="201"/>
      <c r="K298" s="189"/>
      <c r="L298" s="189"/>
      <c r="M298" s="189"/>
      <c r="N298" s="189"/>
    </row>
    <row r="299" spans="2:14" x14ac:dyDescent="0.15">
      <c r="B299" s="189"/>
      <c r="C299" s="189"/>
      <c r="D299" s="189"/>
      <c r="E299" s="93">
        <v>3</v>
      </c>
      <c r="F299" s="93">
        <f>IF(D297/VLOOKUP(E299,$B$222:$E$241,3,0)=0,D297/VLOOKUP(E299,$B$222:$E$241,3,0),INT(D297/VLOOKUP(E299,$B$222:$E$241,3,0))+1)</f>
        <v>19</v>
      </c>
      <c r="G299" s="93">
        <f t="shared" si="176"/>
        <v>8</v>
      </c>
      <c r="H299" s="93">
        <f t="shared" si="177"/>
        <v>1530</v>
      </c>
      <c r="I299" s="88">
        <f t="shared" ref="I299" si="180">F299*(G299/10)^2*0.617*H299/1000</f>
        <v>11.479161600000001</v>
      </c>
      <c r="J299" s="202"/>
      <c r="K299" s="189"/>
      <c r="L299" s="189"/>
      <c r="M299" s="189"/>
      <c r="N299" s="189"/>
    </row>
    <row r="300" spans="2:14" x14ac:dyDescent="0.15">
      <c r="B300" s="202">
        <v>10</v>
      </c>
      <c r="C300" s="202">
        <v>1</v>
      </c>
      <c r="D300" s="202">
        <v>6600</v>
      </c>
      <c r="E300" s="99">
        <v>3</v>
      </c>
      <c r="F300" s="99">
        <f>IF(D300/VLOOKUP(E300,$B$222:$E$241,3,0)=0,D300/VLOOKUP(E300,$B$222:$E$241,3,0),INT(D300/VLOOKUP(E300,$B$222:$E$241,3,0))+1)</f>
        <v>34</v>
      </c>
      <c r="G300" s="99">
        <f>VLOOKUP(E300,$B$222:$E$241,2,0)</f>
        <v>8</v>
      </c>
      <c r="H300" s="99">
        <f>VLOOKUP(E300,$B$222:$E$241,4,0)</f>
        <v>1530</v>
      </c>
      <c r="I300" s="89">
        <f>F300*(G300/10)^2*0.617*H300/1000</f>
        <v>20.541657600000004</v>
      </c>
      <c r="J300" s="203">
        <f t="shared" ref="J300" si="181">SUM(I300:I305)</f>
        <v>290.04646784000005</v>
      </c>
      <c r="K300" s="202">
        <f>PRODUCT(D300:D305)/10^6</f>
        <v>23.76</v>
      </c>
      <c r="L300" s="202">
        <f t="shared" ref="L300" si="182">K300*$L$244</f>
        <v>2.8512</v>
      </c>
      <c r="M300" s="202">
        <v>1</v>
      </c>
      <c r="N300" s="202"/>
    </row>
    <row r="301" spans="2:14" x14ac:dyDescent="0.15">
      <c r="B301" s="189"/>
      <c r="C301" s="189"/>
      <c r="D301" s="189"/>
      <c r="E301" s="93">
        <v>1</v>
      </c>
      <c r="F301" s="93">
        <f>IF(D300/VLOOKUP(E301,$B$222:$E$241,3,0)=0,D300/VLOOKUP(E301,$B$222:$E$241,3,0),INT(D300/VLOOKUP(E301,$B$222:$E$241,3,0))+1)</f>
        <v>67</v>
      </c>
      <c r="G301" s="93">
        <f t="shared" ref="G301:G305" si="183">VLOOKUP(E301,$B$222:$E$241,2,0)</f>
        <v>8</v>
      </c>
      <c r="H301" s="93">
        <f t="shared" ref="H301:H305" si="184">VLOOKUP(E301,$B$222:$E$241,4,0)</f>
        <v>4049</v>
      </c>
      <c r="I301" s="88">
        <f>F301*(G301/10)^2*0.617*H301/1000</f>
        <v>107.12423104000003</v>
      </c>
      <c r="J301" s="201"/>
      <c r="K301" s="189"/>
      <c r="L301" s="189"/>
      <c r="M301" s="189"/>
      <c r="N301" s="189"/>
    </row>
    <row r="302" spans="2:14" x14ac:dyDescent="0.15">
      <c r="B302" s="189"/>
      <c r="C302" s="189"/>
      <c r="D302" s="189"/>
      <c r="E302" s="93">
        <v>4</v>
      </c>
      <c r="F302" s="93">
        <f>IF(D300/VLOOKUP(E302,$B$222:$E$241,3,0)=0,D300/VLOOKUP(E302,$B$222:$E$241,3,0),INT(D300/VLOOKUP(E302,$B$222:$E$241,3,0))+1)</f>
        <v>45</v>
      </c>
      <c r="G302" s="93">
        <f t="shared" si="183"/>
        <v>12</v>
      </c>
      <c r="H302" s="93">
        <f t="shared" si="184"/>
        <v>1430</v>
      </c>
      <c r="I302" s="88">
        <f t="shared" ref="I302:I303" si="185">F302*(G302/10)^2*0.617*H302/1000</f>
        <v>57.173687999999999</v>
      </c>
      <c r="J302" s="201"/>
      <c r="K302" s="189"/>
      <c r="L302" s="189"/>
      <c r="M302" s="189"/>
      <c r="N302" s="189"/>
    </row>
    <row r="303" spans="2:14" x14ac:dyDescent="0.15">
      <c r="B303" s="189"/>
      <c r="C303" s="189"/>
      <c r="D303" s="189">
        <v>3600</v>
      </c>
      <c r="E303" s="93">
        <v>5</v>
      </c>
      <c r="F303" s="93">
        <f t="shared" ref="F303" si="186">IF(D303/VLOOKUP(E303,$B$222:$E$241,3,0)=0,D303/VLOOKUP(E303,$B$222:$E$241,3,0),INT(D303/VLOOKUP(E303,$B$222:$E$241,3,0))+1)</f>
        <v>19</v>
      </c>
      <c r="G303" s="93">
        <f t="shared" si="183"/>
        <v>12</v>
      </c>
      <c r="H303" s="93">
        <f t="shared" si="184"/>
        <v>1430</v>
      </c>
      <c r="I303" s="88">
        <f t="shared" si="185"/>
        <v>24.140001599999998</v>
      </c>
      <c r="J303" s="201"/>
      <c r="K303" s="189"/>
      <c r="L303" s="189"/>
      <c r="M303" s="189"/>
      <c r="N303" s="189"/>
    </row>
    <row r="304" spans="2:14" x14ac:dyDescent="0.15">
      <c r="B304" s="189"/>
      <c r="C304" s="189"/>
      <c r="D304" s="189"/>
      <c r="E304" s="93">
        <v>2</v>
      </c>
      <c r="F304" s="93">
        <f>IF(D303/VLOOKUP(E304,$B$222:$E$241,3,0)=0,D303/VLOOKUP(E304,$B$222:$E$241,3,0),INT(D303/VLOOKUP(E304,$B$222:$E$241,3,0))+1)</f>
        <v>25</v>
      </c>
      <c r="G304" s="93">
        <f t="shared" si="183"/>
        <v>8</v>
      </c>
      <c r="H304" s="93">
        <f t="shared" si="184"/>
        <v>7049</v>
      </c>
      <c r="I304" s="88">
        <f>F304*(G304/10)^2*0.617*H304/1000</f>
        <v>69.587728000000013</v>
      </c>
      <c r="J304" s="201"/>
      <c r="K304" s="189"/>
      <c r="L304" s="189"/>
      <c r="M304" s="189"/>
      <c r="N304" s="189"/>
    </row>
    <row r="305" spans="2:14" x14ac:dyDescent="0.15">
      <c r="B305" s="189"/>
      <c r="C305" s="189"/>
      <c r="D305" s="189"/>
      <c r="E305" s="93">
        <v>3</v>
      </c>
      <c r="F305" s="93">
        <f>IF(D303/VLOOKUP(E305,$B$222:$E$241,3,0)=0,D303/VLOOKUP(E305,$B$222:$E$241,3,0),INT(D303/VLOOKUP(E305,$B$222:$E$241,3,0))+1)</f>
        <v>19</v>
      </c>
      <c r="G305" s="93">
        <f t="shared" si="183"/>
        <v>8</v>
      </c>
      <c r="H305" s="93">
        <f t="shared" si="184"/>
        <v>1530</v>
      </c>
      <c r="I305" s="88">
        <f t="shared" ref="I305" si="187">F305*(G305/10)^2*0.617*H305/1000</f>
        <v>11.479161600000001</v>
      </c>
      <c r="J305" s="202"/>
      <c r="K305" s="189"/>
      <c r="L305" s="189"/>
      <c r="M305" s="189"/>
      <c r="N305" s="189"/>
    </row>
    <row r="306" spans="2:14" x14ac:dyDescent="0.15">
      <c r="B306" s="203">
        <v>11</v>
      </c>
      <c r="C306" s="203">
        <v>1</v>
      </c>
      <c r="D306" s="203">
        <v>6600</v>
      </c>
      <c r="E306" s="99">
        <v>8</v>
      </c>
      <c r="F306" s="99">
        <f>IF(D306/VLOOKUP(E306,$B$222:$E$241,3,0)=0,D306/VLOOKUP(E306,$B$222:$E$241,3,0),INT(D306/VLOOKUP(E306,$B$222:$E$241,3,0))+1)</f>
        <v>34</v>
      </c>
      <c r="G306" s="99">
        <f>VLOOKUP(E306,$B$222:$E$241,2,0)</f>
        <v>8</v>
      </c>
      <c r="H306" s="99">
        <f>VLOOKUP(E306,$B$222:$E$241,4,0)</f>
        <v>1350</v>
      </c>
      <c r="I306" s="89">
        <f>F306*(G306/10)^2*0.617*H306/1000</f>
        <v>18.124992000000006</v>
      </c>
      <c r="J306" s="203">
        <f>SUM(I306:I313)</f>
        <v>287.26137920000008</v>
      </c>
      <c r="K306" s="203">
        <f>PRODUCT(D306:D311)/10^6</f>
        <v>23.76</v>
      </c>
      <c r="L306" s="203">
        <f>K306*$L$244</f>
        <v>2.8512</v>
      </c>
      <c r="M306" s="203">
        <v>1</v>
      </c>
      <c r="N306" s="203"/>
    </row>
    <row r="307" spans="2:14" x14ac:dyDescent="0.15">
      <c r="B307" s="201"/>
      <c r="C307" s="201"/>
      <c r="D307" s="201"/>
      <c r="E307" s="93">
        <v>6</v>
      </c>
      <c r="F307" s="93">
        <f>IF(D306/VLOOKUP(E307,$B$222:$E$241,3,0)=0,D306/VLOOKUP(E307,$B$222:$E$241,3,0),INT(D306/VLOOKUP(E307,$B$222:$E$241,3,0))+1)</f>
        <v>45</v>
      </c>
      <c r="G307" s="93">
        <f t="shared" ref="G307:G311" si="188">VLOOKUP(E307,$B$222:$E$241,2,0)</f>
        <v>8</v>
      </c>
      <c r="H307" s="93">
        <f t="shared" ref="H307:H311" si="189">VLOOKUP(E307,$B$222:$E$241,4,0)</f>
        <v>7624</v>
      </c>
      <c r="I307" s="88">
        <f>F307*(G307/10)^2*0.617*H307/1000</f>
        <v>135.47543040000005</v>
      </c>
      <c r="J307" s="201"/>
      <c r="K307" s="201"/>
      <c r="L307" s="201"/>
      <c r="M307" s="201"/>
      <c r="N307" s="201"/>
    </row>
    <row r="308" spans="2:14" x14ac:dyDescent="0.15">
      <c r="B308" s="201"/>
      <c r="C308" s="201"/>
      <c r="D308" s="202"/>
      <c r="E308" s="93">
        <v>9</v>
      </c>
      <c r="F308" s="93">
        <f>IF(D306/VLOOKUP(E308,$B$222:$E$241,3,0)=0,D306/VLOOKUP(E308,$B$222:$E$241,3,0),INT(D306/VLOOKUP(E308,$B$222:$E$241,3,0))+1)</f>
        <v>45</v>
      </c>
      <c r="G308" s="93">
        <f t="shared" si="188"/>
        <v>8</v>
      </c>
      <c r="H308" s="93">
        <f t="shared" si="189"/>
        <v>1030</v>
      </c>
      <c r="I308" s="88">
        <f t="shared" ref="I308:I309" si="190">F308*(G308/10)^2*0.617*H308/1000</f>
        <v>18.302688000000007</v>
      </c>
      <c r="J308" s="201"/>
      <c r="K308" s="201"/>
      <c r="L308" s="201"/>
      <c r="M308" s="201"/>
      <c r="N308" s="201"/>
    </row>
    <row r="309" spans="2:14" x14ac:dyDescent="0.15">
      <c r="B309" s="201"/>
      <c r="C309" s="201"/>
      <c r="D309" s="203">
        <v>3600</v>
      </c>
      <c r="E309" s="93">
        <v>5</v>
      </c>
      <c r="F309" s="93">
        <f t="shared" ref="F309" si="191">IF(D309/VLOOKUP(E309,$B$222:$E$241,3,0)=0,D309/VLOOKUP(E309,$B$222:$E$241,3,0),INT(D309/VLOOKUP(E309,$B$222:$E$241,3,0))+1)</f>
        <v>19</v>
      </c>
      <c r="G309" s="93">
        <f t="shared" si="188"/>
        <v>12</v>
      </c>
      <c r="H309" s="93">
        <f t="shared" si="189"/>
        <v>1430</v>
      </c>
      <c r="I309" s="88">
        <f t="shared" si="190"/>
        <v>24.140001599999998</v>
      </c>
      <c r="J309" s="201"/>
      <c r="K309" s="201"/>
      <c r="L309" s="201"/>
      <c r="M309" s="201"/>
      <c r="N309" s="201"/>
    </row>
    <row r="310" spans="2:14" x14ac:dyDescent="0.15">
      <c r="B310" s="201"/>
      <c r="C310" s="201"/>
      <c r="D310" s="201"/>
      <c r="E310" s="93">
        <v>5</v>
      </c>
      <c r="F310" s="93">
        <f>IF(D309/VLOOKUP(E310,$B$222:$E$241,3,0)=0,D309/VLOOKUP(E310,$B$222:$E$241,3,0),INT(D309/VLOOKUP(E310,$B$222:$E$241,3,0))+1)</f>
        <v>19</v>
      </c>
      <c r="G310" s="93">
        <f t="shared" si="188"/>
        <v>12</v>
      </c>
      <c r="H310" s="93">
        <f t="shared" si="189"/>
        <v>1430</v>
      </c>
      <c r="I310" s="88">
        <f>F310*(G310/10)^2*0.617*H310/1000</f>
        <v>24.140001599999998</v>
      </c>
      <c r="J310" s="201"/>
      <c r="K310" s="201"/>
      <c r="L310" s="201"/>
      <c r="M310" s="201"/>
      <c r="N310" s="201"/>
    </row>
    <row r="311" spans="2:14" x14ac:dyDescent="0.15">
      <c r="B311" s="201"/>
      <c r="C311" s="201"/>
      <c r="D311" s="201"/>
      <c r="E311" s="93">
        <v>7</v>
      </c>
      <c r="F311" s="93">
        <f>IF(D309/VLOOKUP(E311,$B$222:$E$241,3,0)=0,D309/VLOOKUP(E311,$B$222:$E$241,3,0),INT(D309/VLOOKUP(E311,$B$222:$E$241,3,0))+1)</f>
        <v>25</v>
      </c>
      <c r="G311" s="93">
        <f t="shared" si="188"/>
        <v>8</v>
      </c>
      <c r="H311" s="93">
        <f t="shared" si="189"/>
        <v>3154</v>
      </c>
      <c r="I311" s="88">
        <f t="shared" ref="I311" si="192">F311*(G311/10)^2*0.617*H311/1000</f>
        <v>31.136288000000004</v>
      </c>
      <c r="J311" s="201"/>
      <c r="K311" s="201"/>
      <c r="L311" s="201"/>
      <c r="M311" s="201"/>
      <c r="N311" s="201"/>
    </row>
    <row r="312" spans="2:14" x14ac:dyDescent="0.15">
      <c r="B312" s="201"/>
      <c r="C312" s="201"/>
      <c r="D312" s="201"/>
      <c r="E312" s="93">
        <v>11</v>
      </c>
      <c r="F312" s="93">
        <f>IF(D309/VLOOKUP(E312,$B$222:$E$241,3,0)=0,D309/VLOOKUP(E312,$B$222:$E$241,3,0),INT(D309/VLOOKUP(E312,$B$222:$E$241,3,0))+1)</f>
        <v>37</v>
      </c>
      <c r="G312" s="93">
        <f t="shared" ref="G312:G313" si="193">VLOOKUP(E312,$B$222:$E$241,2,0)</f>
        <v>8</v>
      </c>
      <c r="H312" s="93">
        <f t="shared" ref="H312:H313" si="194">VLOOKUP(E312,$B$222:$E$241,4,0)</f>
        <v>1230</v>
      </c>
      <c r="I312" s="88">
        <f>F312*(G312/10)^2*0.617*H312/1000</f>
        <v>17.970988800000004</v>
      </c>
      <c r="J312" s="201"/>
      <c r="K312" s="201"/>
      <c r="L312" s="201"/>
      <c r="M312" s="201"/>
      <c r="N312" s="201"/>
    </row>
    <row r="313" spans="2:14" x14ac:dyDescent="0.15">
      <c r="B313" s="202"/>
      <c r="C313" s="202"/>
      <c r="D313" s="202"/>
      <c r="E313" s="93">
        <v>11</v>
      </c>
      <c r="F313" s="93">
        <f>IF(D309/VLOOKUP(E313,$B$222:$E$241,3,0)=0,D309/VLOOKUP(E313,$B$222:$E$241,3,0),INT(D309/VLOOKUP(E313,$B$222:$E$241,3,0))+1)</f>
        <v>37</v>
      </c>
      <c r="G313" s="93">
        <f t="shared" si="193"/>
        <v>8</v>
      </c>
      <c r="H313" s="93">
        <f t="shared" si="194"/>
        <v>1230</v>
      </c>
      <c r="I313" s="88">
        <f t="shared" ref="I313" si="195">F313*(G313/10)^2*0.617*H313/1000</f>
        <v>17.970988800000004</v>
      </c>
      <c r="J313" s="202"/>
      <c r="K313" s="202"/>
      <c r="L313" s="202"/>
      <c r="M313" s="202"/>
      <c r="N313" s="202"/>
    </row>
    <row r="314" spans="2:14" x14ac:dyDescent="0.15">
      <c r="B314" s="203">
        <v>12</v>
      </c>
      <c r="C314" s="203">
        <v>3</v>
      </c>
      <c r="D314" s="203">
        <v>6600</v>
      </c>
      <c r="E314" s="99">
        <v>9</v>
      </c>
      <c r="F314" s="99">
        <f>IF(D314/VLOOKUP(E314,$B$222:$E$241,3,0)=0,D314/VLOOKUP(E314,$B$222:$E$241,3,0),INT(D314/VLOOKUP(E314,$B$222:$E$241,3,0))+1)</f>
        <v>45</v>
      </c>
      <c r="G314" s="99">
        <f>VLOOKUP(E314,$B$222:$E$241,2,0)</f>
        <v>8</v>
      </c>
      <c r="H314" s="99">
        <f>VLOOKUP(E314,$B$222:$E$241,4,0)</f>
        <v>1030</v>
      </c>
      <c r="I314" s="89">
        <f>F314*(G314/10)^2*0.617*H314/1000</f>
        <v>18.302688000000007</v>
      </c>
      <c r="J314" s="203">
        <f>SUM(I314:I321)</f>
        <v>275.63413760000009</v>
      </c>
      <c r="K314" s="203">
        <f>PRODUCT(D314:D319)/10^6</f>
        <v>23.76</v>
      </c>
      <c r="L314" s="203">
        <f>K314*$L$244</f>
        <v>2.8512</v>
      </c>
      <c r="M314" s="203">
        <v>2</v>
      </c>
      <c r="N314" s="203">
        <v>1</v>
      </c>
    </row>
    <row r="315" spans="2:14" x14ac:dyDescent="0.15">
      <c r="B315" s="201"/>
      <c r="C315" s="201"/>
      <c r="D315" s="201"/>
      <c r="E315" s="93">
        <v>12</v>
      </c>
      <c r="F315" s="93">
        <f>IF(D314/VLOOKUP(E315,$B$222:$E$241,3,0)=0,D314/VLOOKUP(E315,$B$222:$E$241,3,0),INT(D314/VLOOKUP(E315,$B$222:$E$241,3,0))+1)</f>
        <v>45</v>
      </c>
      <c r="G315" s="93">
        <f t="shared" ref="G315:G321" si="196">VLOOKUP(E315,$B$222:$E$241,2,0)</f>
        <v>8</v>
      </c>
      <c r="H315" s="93">
        <f t="shared" ref="H315:H321" si="197">VLOOKUP(E315,$B$222:$E$241,4,0)</f>
        <v>7654</v>
      </c>
      <c r="I315" s="88">
        <f>F315*(G315/10)^2*0.617*H315/1000</f>
        <v>136.00851840000004</v>
      </c>
      <c r="J315" s="201"/>
      <c r="K315" s="201"/>
      <c r="L315" s="201"/>
      <c r="M315" s="201"/>
      <c r="N315" s="201"/>
    </row>
    <row r="316" spans="2:14" x14ac:dyDescent="0.15">
      <c r="B316" s="201"/>
      <c r="C316" s="201"/>
      <c r="D316" s="202"/>
      <c r="E316" s="93">
        <v>9</v>
      </c>
      <c r="F316" s="93">
        <f>IF(D314/VLOOKUP(E316,$B$222:$E$241,3,0)=0,D314/VLOOKUP(E316,$B$222:$E$241,3,0),INT(D314/VLOOKUP(E316,$B$222:$E$241,3,0))+1)</f>
        <v>45</v>
      </c>
      <c r="G316" s="93">
        <f t="shared" si="196"/>
        <v>8</v>
      </c>
      <c r="H316" s="93">
        <f t="shared" si="197"/>
        <v>1030</v>
      </c>
      <c r="I316" s="88">
        <f t="shared" ref="I316:I317" si="198">F316*(G316/10)^2*0.617*H316/1000</f>
        <v>18.302688000000007</v>
      </c>
      <c r="J316" s="201"/>
      <c r="K316" s="201"/>
      <c r="L316" s="201"/>
      <c r="M316" s="201"/>
      <c r="N316" s="201"/>
    </row>
    <row r="317" spans="2:14" x14ac:dyDescent="0.15">
      <c r="B317" s="201"/>
      <c r="C317" s="201"/>
      <c r="D317" s="203">
        <v>3600</v>
      </c>
      <c r="E317" s="93">
        <v>11</v>
      </c>
      <c r="F317" s="93">
        <f t="shared" ref="F317" si="199">IF(D317/VLOOKUP(E317,$B$222:$E$241,3,0)=0,D317/VLOOKUP(E317,$B$222:$E$241,3,0),INT(D317/VLOOKUP(E317,$B$222:$E$241,3,0))+1)</f>
        <v>37</v>
      </c>
      <c r="G317" s="93">
        <f t="shared" si="196"/>
        <v>8</v>
      </c>
      <c r="H317" s="93">
        <f t="shared" si="197"/>
        <v>1230</v>
      </c>
      <c r="I317" s="88">
        <f t="shared" si="198"/>
        <v>17.970988800000004</v>
      </c>
      <c r="J317" s="201"/>
      <c r="K317" s="201"/>
      <c r="L317" s="201"/>
      <c r="M317" s="201"/>
      <c r="N317" s="201"/>
    </row>
    <row r="318" spans="2:14" x14ac:dyDescent="0.15">
      <c r="B318" s="201"/>
      <c r="C318" s="201"/>
      <c r="D318" s="201"/>
      <c r="E318" s="93">
        <v>11</v>
      </c>
      <c r="F318" s="93">
        <f>IF(D317/VLOOKUP(E318,$B$222:$E$241,3,0)=0,D317/VLOOKUP(E318,$B$222:$E$241,3,0),INT(D317/VLOOKUP(E318,$B$222:$E$241,3,0))+1)</f>
        <v>37</v>
      </c>
      <c r="G318" s="93">
        <f t="shared" si="196"/>
        <v>8</v>
      </c>
      <c r="H318" s="93">
        <f t="shared" si="197"/>
        <v>1230</v>
      </c>
      <c r="I318" s="88">
        <f>F318*(G318/10)^2*0.617*H318/1000</f>
        <v>17.970988800000004</v>
      </c>
      <c r="J318" s="201"/>
      <c r="K318" s="201"/>
      <c r="L318" s="201"/>
      <c r="M318" s="201"/>
      <c r="N318" s="201"/>
    </row>
    <row r="319" spans="2:14" x14ac:dyDescent="0.15">
      <c r="B319" s="201"/>
      <c r="C319" s="201"/>
      <c r="D319" s="201"/>
      <c r="E319" s="93">
        <v>7</v>
      </c>
      <c r="F319" s="93">
        <f>IF(D317/VLOOKUP(E319,$B$222:$E$241,3,0)=0,D317/VLOOKUP(E319,$B$222:$E$241,3,0),INT(D317/VLOOKUP(E319,$B$222:$E$241,3,0))+1)</f>
        <v>25</v>
      </c>
      <c r="G319" s="93">
        <f t="shared" si="196"/>
        <v>8</v>
      </c>
      <c r="H319" s="93">
        <f t="shared" si="197"/>
        <v>3154</v>
      </c>
      <c r="I319" s="88">
        <f t="shared" ref="I319" si="200">F319*(G319/10)^2*0.617*H319/1000</f>
        <v>31.136288000000004</v>
      </c>
      <c r="J319" s="201"/>
      <c r="K319" s="201"/>
      <c r="L319" s="201"/>
      <c r="M319" s="201"/>
      <c r="N319" s="201"/>
    </row>
    <row r="320" spans="2:14" x14ac:dyDescent="0.15">
      <c r="B320" s="201"/>
      <c r="C320" s="201"/>
      <c r="D320" s="201"/>
      <c r="E320" s="93">
        <v>11</v>
      </c>
      <c r="F320" s="93">
        <f>IF(D317/VLOOKUP(E320,$B$222:$E$241,3,0)=0,D317/VLOOKUP(E320,$B$222:$E$241,3,0),INT(D317/VLOOKUP(E320,$B$222:$E$241,3,0))+1)</f>
        <v>37</v>
      </c>
      <c r="G320" s="93">
        <f t="shared" si="196"/>
        <v>8</v>
      </c>
      <c r="H320" s="93">
        <f t="shared" si="197"/>
        <v>1230</v>
      </c>
      <c r="I320" s="88">
        <f>F320*(G320/10)^2*0.617*H320/1000</f>
        <v>17.970988800000004</v>
      </c>
      <c r="J320" s="201"/>
      <c r="K320" s="201"/>
      <c r="L320" s="201"/>
      <c r="M320" s="201"/>
      <c r="N320" s="201"/>
    </row>
    <row r="321" spans="2:14" x14ac:dyDescent="0.15">
      <c r="B321" s="202"/>
      <c r="C321" s="202"/>
      <c r="D321" s="202"/>
      <c r="E321" s="93">
        <v>11</v>
      </c>
      <c r="F321" s="93">
        <f>IF(D317/VLOOKUP(E321,$B$222:$E$241,3,0)=0,D317/VLOOKUP(E321,$B$222:$E$241,3,0),INT(D317/VLOOKUP(E321,$B$222:$E$241,3,0))+1)</f>
        <v>37</v>
      </c>
      <c r="G321" s="93">
        <f t="shared" si="196"/>
        <v>8</v>
      </c>
      <c r="H321" s="93">
        <f t="shared" si="197"/>
        <v>1230</v>
      </c>
      <c r="I321" s="88">
        <f t="shared" ref="I321" si="201">F321*(G321/10)^2*0.617*H321/1000</f>
        <v>17.970988800000004</v>
      </c>
      <c r="J321" s="202"/>
      <c r="K321" s="202"/>
      <c r="L321" s="202"/>
      <c r="M321" s="202"/>
      <c r="N321" s="202"/>
    </row>
    <row r="322" spans="2:14" x14ac:dyDescent="0.15">
      <c r="B322" s="203">
        <v>13</v>
      </c>
      <c r="C322" s="203">
        <v>1</v>
      </c>
      <c r="D322" s="203">
        <v>6600</v>
      </c>
      <c r="E322" s="99">
        <v>9</v>
      </c>
      <c r="F322" s="99">
        <f>IF(D322/VLOOKUP(E322,$B$222:$E$241,3,0)=0,D322/VLOOKUP(E322,$B$222:$E$241,3,0),INT(D322/VLOOKUP(E322,$B$222:$E$241,3,0))+1)</f>
        <v>45</v>
      </c>
      <c r="G322" s="99">
        <f>VLOOKUP(E322,$B$222:$E$241,2,0)</f>
        <v>8</v>
      </c>
      <c r="H322" s="99">
        <f>VLOOKUP(E322,$B$222:$E$241,4,0)</f>
        <v>1030</v>
      </c>
      <c r="I322" s="89">
        <f>F322*(G322/10)^2*0.617*H322/1000</f>
        <v>18.302688000000007</v>
      </c>
      <c r="J322" s="203">
        <f>SUM(I322:I329)</f>
        <v>285.10780240000008</v>
      </c>
      <c r="K322" s="203">
        <f>PRODUCT(D322:D327)/10^6</f>
        <v>23.76</v>
      </c>
      <c r="L322" s="203">
        <f>K322*$L$244</f>
        <v>2.8512</v>
      </c>
      <c r="M322" s="203"/>
      <c r="N322" s="203">
        <v>1</v>
      </c>
    </row>
    <row r="323" spans="2:14" x14ac:dyDescent="0.15">
      <c r="B323" s="201"/>
      <c r="C323" s="201"/>
      <c r="D323" s="201"/>
      <c r="E323" s="93">
        <v>12</v>
      </c>
      <c r="F323" s="93">
        <f>IF(D322/VLOOKUP(E323,$B$222:$E$241,3,0)=0,D322/VLOOKUP(E323,$B$222:$E$241,3,0),INT(D322/VLOOKUP(E323,$B$222:$E$241,3,0))+1)</f>
        <v>45</v>
      </c>
      <c r="G323" s="93">
        <f t="shared" ref="G323:G329" si="202">VLOOKUP(E323,$B$222:$E$241,2,0)</f>
        <v>8</v>
      </c>
      <c r="H323" s="93">
        <f t="shared" ref="H323:H329" si="203">VLOOKUP(E323,$B$222:$E$241,4,0)</f>
        <v>7654</v>
      </c>
      <c r="I323" s="88">
        <f>F323*(G323/10)^2*0.617*H323/1000</f>
        <v>136.00851840000004</v>
      </c>
      <c r="J323" s="201"/>
      <c r="K323" s="201"/>
      <c r="L323" s="201"/>
      <c r="M323" s="201"/>
      <c r="N323" s="201"/>
    </row>
    <row r="324" spans="2:14" x14ac:dyDescent="0.15">
      <c r="B324" s="201"/>
      <c r="C324" s="201"/>
      <c r="D324" s="202"/>
      <c r="E324" s="93">
        <v>13</v>
      </c>
      <c r="F324" s="93">
        <f>IF(D322/VLOOKUP(E324,$B$222:$E$241,3,0)=0,D322/VLOOKUP(E324,$B$222:$E$241,3,0),INT(D322/VLOOKUP(E324,$B$222:$E$241,3,0))+1)</f>
        <v>34</v>
      </c>
      <c r="G324" s="93">
        <f t="shared" si="202"/>
        <v>10</v>
      </c>
      <c r="H324" s="93">
        <f t="shared" si="203"/>
        <v>1030</v>
      </c>
      <c r="I324" s="88">
        <f t="shared" ref="I324:I325" si="204">F324*(G324/10)^2*0.617*H324/1000</f>
        <v>21.607340000000001</v>
      </c>
      <c r="J324" s="201"/>
      <c r="K324" s="201"/>
      <c r="L324" s="201"/>
      <c r="M324" s="201"/>
      <c r="N324" s="201"/>
    </row>
    <row r="325" spans="2:14" x14ac:dyDescent="0.15">
      <c r="B325" s="201"/>
      <c r="C325" s="201"/>
      <c r="D325" s="203">
        <v>3600</v>
      </c>
      <c r="E325" s="93">
        <v>11</v>
      </c>
      <c r="F325" s="93">
        <f t="shared" ref="F325" si="205">IF(D325/VLOOKUP(E325,$B$222:$E$241,3,0)=0,D325/VLOOKUP(E325,$B$222:$E$241,3,0),INT(D325/VLOOKUP(E325,$B$222:$E$241,3,0))+1)</f>
        <v>37</v>
      </c>
      <c r="G325" s="93">
        <f t="shared" si="202"/>
        <v>8</v>
      </c>
      <c r="H325" s="93">
        <f t="shared" si="203"/>
        <v>1230</v>
      </c>
      <c r="I325" s="88">
        <f t="shared" si="204"/>
        <v>17.970988800000004</v>
      </c>
      <c r="J325" s="201"/>
      <c r="K325" s="201"/>
      <c r="L325" s="201"/>
      <c r="M325" s="201"/>
      <c r="N325" s="201"/>
    </row>
    <row r="326" spans="2:14" x14ac:dyDescent="0.15">
      <c r="B326" s="201"/>
      <c r="C326" s="201"/>
      <c r="D326" s="201"/>
      <c r="E326" s="93">
        <v>11</v>
      </c>
      <c r="F326" s="93">
        <f>IF(D325/VLOOKUP(E326,$B$222:$E$241,3,0)=0,D325/VLOOKUP(E326,$B$222:$E$241,3,0),INT(D325/VLOOKUP(E326,$B$222:$E$241,3,0))+1)</f>
        <v>37</v>
      </c>
      <c r="G326" s="93">
        <f t="shared" si="202"/>
        <v>8</v>
      </c>
      <c r="H326" s="93">
        <f t="shared" si="203"/>
        <v>1230</v>
      </c>
      <c r="I326" s="88">
        <f>F326*(G326/10)^2*0.617*H326/1000</f>
        <v>17.970988800000004</v>
      </c>
      <c r="J326" s="201"/>
      <c r="K326" s="201"/>
      <c r="L326" s="201"/>
      <c r="M326" s="201"/>
      <c r="N326" s="201"/>
    </row>
    <row r="327" spans="2:14" x14ac:dyDescent="0.15">
      <c r="B327" s="201"/>
      <c r="C327" s="201"/>
      <c r="D327" s="201"/>
      <c r="E327" s="93">
        <v>7</v>
      </c>
      <c r="F327" s="93">
        <f>IF(D325/VLOOKUP(E327,$B$222:$E$241,3,0)=0,D325/VLOOKUP(E327,$B$222:$E$241,3,0),INT(D325/VLOOKUP(E327,$B$222:$E$241,3,0))+1)</f>
        <v>25</v>
      </c>
      <c r="G327" s="93">
        <f t="shared" si="202"/>
        <v>8</v>
      </c>
      <c r="H327" s="93">
        <f t="shared" si="203"/>
        <v>3154</v>
      </c>
      <c r="I327" s="88">
        <f t="shared" ref="I327" si="206">F327*(G327/10)^2*0.617*H327/1000</f>
        <v>31.136288000000004</v>
      </c>
      <c r="J327" s="201"/>
      <c r="K327" s="201"/>
      <c r="L327" s="201"/>
      <c r="M327" s="201"/>
      <c r="N327" s="201"/>
    </row>
    <row r="328" spans="2:14" x14ac:dyDescent="0.15">
      <c r="B328" s="201"/>
      <c r="C328" s="201"/>
      <c r="D328" s="201"/>
      <c r="E328" s="93">
        <v>5</v>
      </c>
      <c r="F328" s="93">
        <f>IF(D325/VLOOKUP(E328,$B$222:$E$241,3,0)=0,D325/VLOOKUP(E328,$B$222:$E$241,3,0),INT(D325/VLOOKUP(E328,$B$222:$E$241,3,0))+1)</f>
        <v>19</v>
      </c>
      <c r="G328" s="93">
        <f t="shared" si="202"/>
        <v>12</v>
      </c>
      <c r="H328" s="93">
        <f t="shared" si="203"/>
        <v>1430</v>
      </c>
      <c r="I328" s="88">
        <f>F328*(G328/10)^2*0.617*H328/1000</f>
        <v>24.140001599999998</v>
      </c>
      <c r="J328" s="201"/>
      <c r="K328" s="201"/>
      <c r="L328" s="201"/>
      <c r="M328" s="201"/>
      <c r="N328" s="201"/>
    </row>
    <row r="329" spans="2:14" x14ac:dyDescent="0.15">
      <c r="B329" s="202"/>
      <c r="C329" s="202"/>
      <c r="D329" s="202"/>
      <c r="E329" s="93">
        <v>11</v>
      </c>
      <c r="F329" s="93">
        <f>IF(D325/VLOOKUP(E329,$B$222:$E$241,3,0)=0,D325/VLOOKUP(E329,$B$222:$E$241,3,0),INT(D325/VLOOKUP(E329,$B$222:$E$241,3,0))+1)</f>
        <v>37</v>
      </c>
      <c r="G329" s="93">
        <f t="shared" si="202"/>
        <v>8</v>
      </c>
      <c r="H329" s="93">
        <f t="shared" si="203"/>
        <v>1230</v>
      </c>
      <c r="I329" s="88">
        <f t="shared" ref="I329" si="207">F329*(G329/10)^2*0.617*H329/1000</f>
        <v>17.970988800000004</v>
      </c>
      <c r="J329" s="202"/>
      <c r="K329" s="202"/>
      <c r="L329" s="202"/>
      <c r="M329" s="202"/>
      <c r="N329" s="202"/>
    </row>
    <row r="330" spans="2:14" x14ac:dyDescent="0.15">
      <c r="B330" s="203">
        <v>14</v>
      </c>
      <c r="C330" s="203">
        <v>1</v>
      </c>
      <c r="D330" s="203">
        <v>6600</v>
      </c>
      <c r="E330" s="99">
        <v>13</v>
      </c>
      <c r="F330" s="99">
        <f>IF(D330/VLOOKUP(E330,$B$222:$E$241,3,0)=0,D330/VLOOKUP(E330,$B$222:$E$241,3,0),INT(D330/VLOOKUP(E330,$B$222:$E$241,3,0))+1)</f>
        <v>34</v>
      </c>
      <c r="G330" s="99">
        <f>VLOOKUP(E330,$B$222:$E$241,2,0)</f>
        <v>10</v>
      </c>
      <c r="H330" s="99">
        <f>VLOOKUP(E330,$B$222:$E$241,4,0)</f>
        <v>1030</v>
      </c>
      <c r="I330" s="89">
        <f>F330*(G330/10)^2*0.617*H330/1000</f>
        <v>21.607340000000001</v>
      </c>
      <c r="J330" s="203">
        <f>SUM(I330:I337)</f>
        <v>279.56319360000003</v>
      </c>
      <c r="K330" s="203">
        <f>PRODUCT(D330:D335)/10^6</f>
        <v>23.76</v>
      </c>
      <c r="L330" s="203">
        <f>K330*$L$244</f>
        <v>2.8512</v>
      </c>
      <c r="M330" s="203"/>
      <c r="N330" s="203">
        <v>1</v>
      </c>
    </row>
    <row r="331" spans="2:14" x14ac:dyDescent="0.15">
      <c r="B331" s="201"/>
      <c r="C331" s="201"/>
      <c r="D331" s="201"/>
      <c r="E331" s="93">
        <v>6</v>
      </c>
      <c r="F331" s="93">
        <f>IF(D330/VLOOKUP(E331,$B$222:$E$241,3,0)=0,D330/VLOOKUP(E331,$B$222:$E$241,3,0),INT(D330/VLOOKUP(E331,$B$222:$E$241,3,0))+1)</f>
        <v>45</v>
      </c>
      <c r="G331" s="93">
        <f t="shared" ref="G331:G337" si="208">VLOOKUP(E331,$B$222:$E$241,2,0)</f>
        <v>8</v>
      </c>
      <c r="H331" s="93">
        <f t="shared" ref="H331:H337" si="209">VLOOKUP(E331,$B$222:$E$241,4,0)</f>
        <v>7624</v>
      </c>
      <c r="I331" s="88">
        <f>F331*(G331/10)^2*0.617*H331/1000</f>
        <v>135.47543040000005</v>
      </c>
      <c r="J331" s="201"/>
      <c r="K331" s="201"/>
      <c r="L331" s="201"/>
      <c r="M331" s="201"/>
      <c r="N331" s="201"/>
    </row>
    <row r="332" spans="2:14" x14ac:dyDescent="0.15">
      <c r="B332" s="201"/>
      <c r="C332" s="201"/>
      <c r="D332" s="202"/>
      <c r="E332" s="93">
        <v>8</v>
      </c>
      <c r="F332" s="93">
        <f>IF(D330/VLOOKUP(E332,$B$222:$E$241,3,0)=0,D330/VLOOKUP(E332,$B$222:$E$241,3,0),INT(D330/VLOOKUP(E332,$B$222:$E$241,3,0))+1)</f>
        <v>34</v>
      </c>
      <c r="G332" s="93">
        <f t="shared" si="208"/>
        <v>8</v>
      </c>
      <c r="H332" s="93">
        <f t="shared" si="209"/>
        <v>1350</v>
      </c>
      <c r="I332" s="88">
        <f t="shared" ref="I332:I333" si="210">F332*(G332/10)^2*0.617*H332/1000</f>
        <v>18.124992000000006</v>
      </c>
      <c r="J332" s="201"/>
      <c r="K332" s="201"/>
      <c r="L332" s="201"/>
      <c r="M332" s="201"/>
      <c r="N332" s="201"/>
    </row>
    <row r="333" spans="2:14" x14ac:dyDescent="0.15">
      <c r="B333" s="201"/>
      <c r="C333" s="201"/>
      <c r="D333" s="203">
        <v>3600</v>
      </c>
      <c r="E333" s="93">
        <v>17</v>
      </c>
      <c r="F333" s="93">
        <f t="shared" ref="F333" si="211">IF(D333/VLOOKUP(E333,$B$222:$E$241,3,0)=0,D333/VLOOKUP(E333,$B$222:$E$241,3,0),INT(D333/VLOOKUP(E333,$B$222:$E$241,3,0))+1)</f>
        <v>19</v>
      </c>
      <c r="G333" s="93">
        <f t="shared" si="208"/>
        <v>8</v>
      </c>
      <c r="H333" s="93">
        <f t="shared" si="209"/>
        <v>1300</v>
      </c>
      <c r="I333" s="88">
        <f t="shared" si="210"/>
        <v>9.7535360000000022</v>
      </c>
      <c r="J333" s="201"/>
      <c r="K333" s="201"/>
      <c r="L333" s="201"/>
      <c r="M333" s="201"/>
      <c r="N333" s="201"/>
    </row>
    <row r="334" spans="2:14" x14ac:dyDescent="0.15">
      <c r="B334" s="201"/>
      <c r="C334" s="201"/>
      <c r="D334" s="201"/>
      <c r="E334" s="93">
        <v>15</v>
      </c>
      <c r="F334" s="93">
        <f>IF(D333/VLOOKUP(E334,$B$222:$E$241,3,0)=0,D333/VLOOKUP(E334,$B$222:$E$241,3,0),INT(D333/VLOOKUP(E334,$B$222:$E$241,3,0))+1)</f>
        <v>29</v>
      </c>
      <c r="G334" s="93">
        <f t="shared" si="208"/>
        <v>10</v>
      </c>
      <c r="H334" s="93">
        <f t="shared" si="209"/>
        <v>1230</v>
      </c>
      <c r="I334" s="88">
        <f>F334*(G334/10)^2*0.617*H334/1000</f>
        <v>22.008389999999999</v>
      </c>
      <c r="J334" s="201"/>
      <c r="K334" s="201"/>
      <c r="L334" s="201"/>
      <c r="M334" s="201"/>
      <c r="N334" s="201"/>
    </row>
    <row r="335" spans="2:14" x14ac:dyDescent="0.15">
      <c r="B335" s="201"/>
      <c r="C335" s="201"/>
      <c r="D335" s="201"/>
      <c r="E335" s="93">
        <v>16</v>
      </c>
      <c r="F335" s="93">
        <f>IF(D333/VLOOKUP(E335,$B$222:$E$241,3,0)=0,D333/VLOOKUP(E335,$B$222:$E$241,3,0),INT(D333/VLOOKUP(E335,$B$222:$E$241,3,0))+1)</f>
        <v>19</v>
      </c>
      <c r="G335" s="93">
        <f t="shared" si="208"/>
        <v>10</v>
      </c>
      <c r="H335" s="93">
        <f t="shared" si="209"/>
        <v>3154</v>
      </c>
      <c r="I335" s="88">
        <f t="shared" ref="I335" si="212">F335*(G335/10)^2*0.617*H335/1000</f>
        <v>36.974342</v>
      </c>
      <c r="J335" s="201"/>
      <c r="K335" s="201"/>
      <c r="L335" s="201"/>
      <c r="M335" s="201"/>
      <c r="N335" s="201"/>
    </row>
    <row r="336" spans="2:14" x14ac:dyDescent="0.15">
      <c r="B336" s="201"/>
      <c r="C336" s="201"/>
      <c r="D336" s="201"/>
      <c r="E336" s="93">
        <v>3</v>
      </c>
      <c r="F336" s="93">
        <f>IF(D333/VLOOKUP(E336,$B$222:$E$241,3,0)=0,D333/VLOOKUP(E336,$B$222:$E$241,3,0),INT(D333/VLOOKUP(E336,$B$222:$E$241,3,0))+1)</f>
        <v>19</v>
      </c>
      <c r="G336" s="93">
        <f t="shared" si="208"/>
        <v>8</v>
      </c>
      <c r="H336" s="93">
        <f t="shared" si="209"/>
        <v>1530</v>
      </c>
      <c r="I336" s="88">
        <f>F336*(G336/10)^2*0.617*H336/1000</f>
        <v>11.479161600000001</v>
      </c>
      <c r="J336" s="201"/>
      <c r="K336" s="201"/>
      <c r="L336" s="201"/>
      <c r="M336" s="201"/>
      <c r="N336" s="201"/>
    </row>
    <row r="337" spans="2:14" x14ac:dyDescent="0.15">
      <c r="B337" s="202"/>
      <c r="C337" s="202"/>
      <c r="D337" s="202"/>
      <c r="E337" s="93">
        <v>5</v>
      </c>
      <c r="F337" s="93">
        <f>IF(D333/VLOOKUP(E337,$B$222:$E$241,3,0)=0,D333/VLOOKUP(E337,$B$222:$E$241,3,0),INT(D333/VLOOKUP(E337,$B$222:$E$241,3,0))+1)</f>
        <v>19</v>
      </c>
      <c r="G337" s="93">
        <f t="shared" si="208"/>
        <v>12</v>
      </c>
      <c r="H337" s="93">
        <f t="shared" si="209"/>
        <v>1430</v>
      </c>
      <c r="I337" s="88">
        <f t="shared" ref="I337" si="213">F337*(G337/10)^2*0.617*H337/1000</f>
        <v>24.140001599999998</v>
      </c>
      <c r="J337" s="202"/>
      <c r="K337" s="202"/>
      <c r="L337" s="202"/>
      <c r="M337" s="202"/>
      <c r="N337" s="202"/>
    </row>
  </sheetData>
  <mergeCells count="348">
    <mergeCell ref="N306:N313"/>
    <mergeCell ref="N314:N321"/>
    <mergeCell ref="N322:N329"/>
    <mergeCell ref="N330:N337"/>
    <mergeCell ref="M330:M337"/>
    <mergeCell ref="J30:J35"/>
    <mergeCell ref="J36:J41"/>
    <mergeCell ref="J42:J47"/>
    <mergeCell ref="J48:J53"/>
    <mergeCell ref="J54:J59"/>
    <mergeCell ref="J60:J65"/>
    <mergeCell ref="J66:J71"/>
    <mergeCell ref="J72:J77"/>
    <mergeCell ref="J78:J85"/>
    <mergeCell ref="N288:N293"/>
    <mergeCell ref="N294:N299"/>
    <mergeCell ref="N300:N305"/>
    <mergeCell ref="N246:N251"/>
    <mergeCell ref="N252:N257"/>
    <mergeCell ref="N258:N263"/>
    <mergeCell ref="N264:N269"/>
    <mergeCell ref="N270:N275"/>
    <mergeCell ref="N181:N186"/>
    <mergeCell ref="N187:N194"/>
    <mergeCell ref="N195:N202"/>
    <mergeCell ref="N203:N209"/>
    <mergeCell ref="N210:N217"/>
    <mergeCell ref="N86:N93"/>
    <mergeCell ref="N94:N100"/>
    <mergeCell ref="N101:N108"/>
    <mergeCell ref="N139:N144"/>
    <mergeCell ref="N145:N150"/>
    <mergeCell ref="M282:M287"/>
    <mergeCell ref="D285:D287"/>
    <mergeCell ref="M270:M275"/>
    <mergeCell ref="D273:D275"/>
    <mergeCell ref="M258:M263"/>
    <mergeCell ref="D261:D263"/>
    <mergeCell ref="L246:L251"/>
    <mergeCell ref="M246:M251"/>
    <mergeCell ref="D249:D251"/>
    <mergeCell ref="J86:J93"/>
    <mergeCell ref="J94:J100"/>
    <mergeCell ref="J101:J108"/>
    <mergeCell ref="N276:N281"/>
    <mergeCell ref="N282:N287"/>
    <mergeCell ref="N151:N156"/>
    <mergeCell ref="N157:N162"/>
    <mergeCell ref="N163:N168"/>
    <mergeCell ref="N169:N174"/>
    <mergeCell ref="N175:N180"/>
    <mergeCell ref="N30:N35"/>
    <mergeCell ref="N36:N41"/>
    <mergeCell ref="N42:N47"/>
    <mergeCell ref="N48:N53"/>
    <mergeCell ref="N54:N59"/>
    <mergeCell ref="N60:N65"/>
    <mergeCell ref="N66:N71"/>
    <mergeCell ref="N72:N77"/>
    <mergeCell ref="N78:N85"/>
    <mergeCell ref="B330:B337"/>
    <mergeCell ref="C330:C337"/>
    <mergeCell ref="D330:D332"/>
    <mergeCell ref="K330:K337"/>
    <mergeCell ref="L330:L337"/>
    <mergeCell ref="J330:J337"/>
    <mergeCell ref="M314:M321"/>
    <mergeCell ref="D317:D321"/>
    <mergeCell ref="B322:B329"/>
    <mergeCell ref="C322:C329"/>
    <mergeCell ref="D322:D324"/>
    <mergeCell ref="K322:K329"/>
    <mergeCell ref="L322:L329"/>
    <mergeCell ref="M322:M329"/>
    <mergeCell ref="D325:D329"/>
    <mergeCell ref="J314:J321"/>
    <mergeCell ref="J322:J329"/>
    <mergeCell ref="B314:B321"/>
    <mergeCell ref="C314:C321"/>
    <mergeCell ref="D314:D316"/>
    <mergeCell ref="K314:K321"/>
    <mergeCell ref="L314:L321"/>
    <mergeCell ref="D333:D337"/>
    <mergeCell ref="B306:B313"/>
    <mergeCell ref="C306:C313"/>
    <mergeCell ref="D309:D313"/>
    <mergeCell ref="K306:K313"/>
    <mergeCell ref="L306:L313"/>
    <mergeCell ref="M306:M313"/>
    <mergeCell ref="J306:J313"/>
    <mergeCell ref="D306:D308"/>
    <mergeCell ref="M294:M299"/>
    <mergeCell ref="D297:D299"/>
    <mergeCell ref="B300:B305"/>
    <mergeCell ref="C300:C305"/>
    <mergeCell ref="D300:D302"/>
    <mergeCell ref="K300:K305"/>
    <mergeCell ref="L300:L305"/>
    <mergeCell ref="M300:M305"/>
    <mergeCell ref="D303:D305"/>
    <mergeCell ref="J294:J299"/>
    <mergeCell ref="J300:J305"/>
    <mergeCell ref="B294:B299"/>
    <mergeCell ref="C294:C299"/>
    <mergeCell ref="D294:D296"/>
    <mergeCell ref="K294:K299"/>
    <mergeCell ref="L294:L299"/>
    <mergeCell ref="B288:B293"/>
    <mergeCell ref="C288:C293"/>
    <mergeCell ref="D288:D290"/>
    <mergeCell ref="K288:K293"/>
    <mergeCell ref="L288:L293"/>
    <mergeCell ref="M288:M293"/>
    <mergeCell ref="D291:D293"/>
    <mergeCell ref="J282:J287"/>
    <mergeCell ref="J288:J293"/>
    <mergeCell ref="B282:B287"/>
    <mergeCell ref="C282:C287"/>
    <mergeCell ref="D282:D284"/>
    <mergeCell ref="K282:K287"/>
    <mergeCell ref="L282:L287"/>
    <mergeCell ref="B276:B281"/>
    <mergeCell ref="C276:C281"/>
    <mergeCell ref="D276:D278"/>
    <mergeCell ref="K276:K281"/>
    <mergeCell ref="L276:L281"/>
    <mergeCell ref="M276:M281"/>
    <mergeCell ref="D279:D281"/>
    <mergeCell ref="J270:J275"/>
    <mergeCell ref="J276:J281"/>
    <mergeCell ref="B270:B275"/>
    <mergeCell ref="C270:C275"/>
    <mergeCell ref="D270:D272"/>
    <mergeCell ref="K270:K275"/>
    <mergeCell ref="L270:L275"/>
    <mergeCell ref="B264:B269"/>
    <mergeCell ref="C264:C269"/>
    <mergeCell ref="D264:D266"/>
    <mergeCell ref="K264:K269"/>
    <mergeCell ref="L264:L269"/>
    <mergeCell ref="M264:M269"/>
    <mergeCell ref="D267:D269"/>
    <mergeCell ref="J264:J269"/>
    <mergeCell ref="B258:B263"/>
    <mergeCell ref="C258:C263"/>
    <mergeCell ref="D258:D260"/>
    <mergeCell ref="K258:K263"/>
    <mergeCell ref="L258:L263"/>
    <mergeCell ref="J258:J263"/>
    <mergeCell ref="B252:B257"/>
    <mergeCell ref="C252:C257"/>
    <mergeCell ref="D252:D254"/>
    <mergeCell ref="K252:K257"/>
    <mergeCell ref="L252:L257"/>
    <mergeCell ref="M252:M257"/>
    <mergeCell ref="D255:D257"/>
    <mergeCell ref="B220:E220"/>
    <mergeCell ref="B244:K244"/>
    <mergeCell ref="B246:B251"/>
    <mergeCell ref="C246:C251"/>
    <mergeCell ref="D246:D248"/>
    <mergeCell ref="K246:K251"/>
    <mergeCell ref="J246:J251"/>
    <mergeCell ref="J252:J257"/>
    <mergeCell ref="B210:B217"/>
    <mergeCell ref="C210:C217"/>
    <mergeCell ref="D210:D212"/>
    <mergeCell ref="K210:K217"/>
    <mergeCell ref="L210:L217"/>
    <mergeCell ref="M210:M217"/>
    <mergeCell ref="D213:D217"/>
    <mergeCell ref="B203:B209"/>
    <mergeCell ref="C203:C209"/>
    <mergeCell ref="K203:K209"/>
    <mergeCell ref="L203:L209"/>
    <mergeCell ref="M203:M209"/>
    <mergeCell ref="D206:D209"/>
    <mergeCell ref="D203:D205"/>
    <mergeCell ref="J203:J209"/>
    <mergeCell ref="J210:J217"/>
    <mergeCell ref="D190:D194"/>
    <mergeCell ref="B195:B202"/>
    <mergeCell ref="C195:C202"/>
    <mergeCell ref="D195:D197"/>
    <mergeCell ref="K195:K202"/>
    <mergeCell ref="L195:L202"/>
    <mergeCell ref="M195:M202"/>
    <mergeCell ref="D198:D202"/>
    <mergeCell ref="J187:J194"/>
    <mergeCell ref="B187:B194"/>
    <mergeCell ref="C187:C194"/>
    <mergeCell ref="D187:D189"/>
    <mergeCell ref="K187:K194"/>
    <mergeCell ref="L187:L194"/>
    <mergeCell ref="M187:M194"/>
    <mergeCell ref="J195:J202"/>
    <mergeCell ref="M175:M180"/>
    <mergeCell ref="D178:D180"/>
    <mergeCell ref="B181:B186"/>
    <mergeCell ref="C181:C186"/>
    <mergeCell ref="D181:D183"/>
    <mergeCell ref="K181:K186"/>
    <mergeCell ref="L181:L186"/>
    <mergeCell ref="M181:M186"/>
    <mergeCell ref="D184:D186"/>
    <mergeCell ref="J175:J180"/>
    <mergeCell ref="J181:J186"/>
    <mergeCell ref="B175:B180"/>
    <mergeCell ref="C175:C180"/>
    <mergeCell ref="D175:D177"/>
    <mergeCell ref="K175:K180"/>
    <mergeCell ref="L175:L180"/>
    <mergeCell ref="M163:M168"/>
    <mergeCell ref="D166:D168"/>
    <mergeCell ref="B169:B174"/>
    <mergeCell ref="C169:C174"/>
    <mergeCell ref="D169:D171"/>
    <mergeCell ref="K169:K174"/>
    <mergeCell ref="L169:L174"/>
    <mergeCell ref="M169:M174"/>
    <mergeCell ref="D172:D174"/>
    <mergeCell ref="J163:J168"/>
    <mergeCell ref="J169:J174"/>
    <mergeCell ref="B163:B168"/>
    <mergeCell ref="C163:C168"/>
    <mergeCell ref="D163:D165"/>
    <mergeCell ref="K163:K168"/>
    <mergeCell ref="L163:L168"/>
    <mergeCell ref="M151:M156"/>
    <mergeCell ref="D154:D156"/>
    <mergeCell ref="B157:B162"/>
    <mergeCell ref="C157:C162"/>
    <mergeCell ref="D157:D159"/>
    <mergeCell ref="K157:K162"/>
    <mergeCell ref="L157:L162"/>
    <mergeCell ref="M157:M162"/>
    <mergeCell ref="D160:D162"/>
    <mergeCell ref="J151:J156"/>
    <mergeCell ref="J157:J162"/>
    <mergeCell ref="B151:B156"/>
    <mergeCell ref="C151:C156"/>
    <mergeCell ref="D151:D153"/>
    <mergeCell ref="K151:K156"/>
    <mergeCell ref="L151:L156"/>
    <mergeCell ref="L139:L144"/>
    <mergeCell ref="M139:M144"/>
    <mergeCell ref="D142:D144"/>
    <mergeCell ref="B145:B150"/>
    <mergeCell ref="C145:C150"/>
    <mergeCell ref="D145:D147"/>
    <mergeCell ref="K145:K150"/>
    <mergeCell ref="L145:L150"/>
    <mergeCell ref="M145:M150"/>
    <mergeCell ref="D148:D150"/>
    <mergeCell ref="J139:J144"/>
    <mergeCell ref="J145:J150"/>
    <mergeCell ref="C94:C100"/>
    <mergeCell ref="B111:E111"/>
    <mergeCell ref="B137:K137"/>
    <mergeCell ref="B139:B144"/>
    <mergeCell ref="C139:C144"/>
    <mergeCell ref="D139:D141"/>
    <mergeCell ref="K139:K144"/>
    <mergeCell ref="B101:B108"/>
    <mergeCell ref="C101:C108"/>
    <mergeCell ref="D101:D103"/>
    <mergeCell ref="K101:K108"/>
    <mergeCell ref="D104:D108"/>
    <mergeCell ref="B66:B71"/>
    <mergeCell ref="C66:C71"/>
    <mergeCell ref="D66:D68"/>
    <mergeCell ref="K66:K71"/>
    <mergeCell ref="D69:D71"/>
    <mergeCell ref="K86:K93"/>
    <mergeCell ref="D89:D93"/>
    <mergeCell ref="D94:D96"/>
    <mergeCell ref="K94:K100"/>
    <mergeCell ref="D97:D100"/>
    <mergeCell ref="B78:B85"/>
    <mergeCell ref="B72:B77"/>
    <mergeCell ref="C72:C77"/>
    <mergeCell ref="D72:D74"/>
    <mergeCell ref="B86:B93"/>
    <mergeCell ref="C86:C93"/>
    <mergeCell ref="D86:D88"/>
    <mergeCell ref="K72:K77"/>
    <mergeCell ref="D75:D77"/>
    <mergeCell ref="K78:K85"/>
    <mergeCell ref="D78:D80"/>
    <mergeCell ref="D81:D85"/>
    <mergeCell ref="C78:C85"/>
    <mergeCell ref="B94:B100"/>
    <mergeCell ref="B54:B59"/>
    <mergeCell ref="C54:C59"/>
    <mergeCell ref="D54:D56"/>
    <mergeCell ref="K54:K59"/>
    <mergeCell ref="D57:D59"/>
    <mergeCell ref="B60:B65"/>
    <mergeCell ref="C60:C65"/>
    <mergeCell ref="D60:D62"/>
    <mergeCell ref="K60:K65"/>
    <mergeCell ref="D63:D65"/>
    <mergeCell ref="B2:E2"/>
    <mergeCell ref="D30:D32"/>
    <mergeCell ref="D33:D35"/>
    <mergeCell ref="K30:K35"/>
    <mergeCell ref="C30:C35"/>
    <mergeCell ref="B30:B35"/>
    <mergeCell ref="B28:K28"/>
    <mergeCell ref="L66:L71"/>
    <mergeCell ref="L72:L77"/>
    <mergeCell ref="B36:B41"/>
    <mergeCell ref="C36:C41"/>
    <mergeCell ref="D36:D38"/>
    <mergeCell ref="K36:K41"/>
    <mergeCell ref="D39:D41"/>
    <mergeCell ref="B42:B47"/>
    <mergeCell ref="C42:C47"/>
    <mergeCell ref="D42:D44"/>
    <mergeCell ref="K42:K47"/>
    <mergeCell ref="D45:D47"/>
    <mergeCell ref="B48:B53"/>
    <mergeCell ref="C48:C53"/>
    <mergeCell ref="D48:D50"/>
    <mergeCell ref="K48:K53"/>
    <mergeCell ref="D51:D53"/>
    <mergeCell ref="M86:M93"/>
    <mergeCell ref="M94:M100"/>
    <mergeCell ref="M101:M108"/>
    <mergeCell ref="L60:L65"/>
    <mergeCell ref="M30:M35"/>
    <mergeCell ref="M36:M41"/>
    <mergeCell ref="M42:M47"/>
    <mergeCell ref="M48:M53"/>
    <mergeCell ref="M54:M59"/>
    <mergeCell ref="M60:M65"/>
    <mergeCell ref="M66:M71"/>
    <mergeCell ref="M72:M77"/>
    <mergeCell ref="M78:M85"/>
    <mergeCell ref="L78:L85"/>
    <mergeCell ref="L30:L35"/>
    <mergeCell ref="L36:L41"/>
    <mergeCell ref="L42:L47"/>
    <mergeCell ref="L48:L53"/>
    <mergeCell ref="L54:L59"/>
    <mergeCell ref="L86:L93"/>
    <mergeCell ref="L94:L100"/>
    <mergeCell ref="L101:L108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"/>
  <sheetViews>
    <sheetView workbookViewId="0"/>
  </sheetViews>
  <sheetFormatPr defaultRowHeight="13.5" x14ac:dyDescent="0.15"/>
  <cols>
    <col min="1" max="4" width="9" style="94"/>
    <col min="5" max="5" width="12.875" style="94" bestFit="1" customWidth="1"/>
    <col min="6" max="6" width="9.5" style="94" bestFit="1" customWidth="1"/>
    <col min="7" max="7" width="10.75" style="94" customWidth="1"/>
    <col min="8" max="16384" width="9" style="94"/>
  </cols>
  <sheetData>
    <row r="2" spans="2:7" ht="14.25" thickBot="1" x14ac:dyDescent="0.2">
      <c r="B2" s="241" t="s">
        <v>194</v>
      </c>
      <c r="C2" s="241"/>
      <c r="D2" s="241"/>
      <c r="E2" s="241"/>
      <c r="F2" s="241"/>
      <c r="G2" s="241"/>
    </row>
    <row r="3" spans="2:7" ht="16.5" thickBot="1" x14ac:dyDescent="0.2">
      <c r="B3" s="116" t="s">
        <v>184</v>
      </c>
      <c r="C3" s="128" t="s">
        <v>185</v>
      </c>
      <c r="D3" s="128" t="s">
        <v>186</v>
      </c>
      <c r="E3" s="128" t="s">
        <v>192</v>
      </c>
      <c r="F3" s="128" t="s">
        <v>196</v>
      </c>
      <c r="G3" s="129" t="s">
        <v>197</v>
      </c>
    </row>
    <row r="4" spans="2:7" x14ac:dyDescent="0.15">
      <c r="B4" s="250" t="s">
        <v>190</v>
      </c>
      <c r="C4" s="191" t="s">
        <v>182</v>
      </c>
      <c r="D4" s="95" t="s">
        <v>187</v>
      </c>
      <c r="E4" s="108">
        <f>SUMPRODUCT(柱工程量计算!Q3:Q72,柱工程量计算!N3:N72)</f>
        <v>4039.4103494400006</v>
      </c>
      <c r="F4" s="108">
        <f>SUMPRODUCT(柱工程量计算!Q3:Q72,柱工程量计算!P3:P72)</f>
        <v>138.24</v>
      </c>
      <c r="G4" s="109">
        <f>SUMPRODUCT(柱工程量计算!Q3:Q72,柱工程量计算!O3:O72)</f>
        <v>20.735999999999997</v>
      </c>
    </row>
    <row r="5" spans="2:7" x14ac:dyDescent="0.15">
      <c r="B5" s="250"/>
      <c r="C5" s="185"/>
      <c r="D5" s="93" t="s">
        <v>188</v>
      </c>
      <c r="E5" s="110">
        <f>SUMPRODUCT(梁的工程量的计算!P5:P280,梁的工程量的计算!O5:O280)</f>
        <v>7319.1489106112949</v>
      </c>
      <c r="F5" s="110">
        <f>SUMPRODUCT(梁的工程量的计算!P5:P280,梁的工程量的计算!M5:M280)</f>
        <v>170.71199999999999</v>
      </c>
      <c r="G5" s="111">
        <f>SUMPRODUCT(梁的工程量的计算!P5:P280,梁的工程量的计算!N5:N280)</f>
        <v>17.231999999999999</v>
      </c>
    </row>
    <row r="6" spans="2:7" ht="14.25" thickBot="1" x14ac:dyDescent="0.2">
      <c r="B6" s="250"/>
      <c r="C6" s="248"/>
      <c r="D6" s="8" t="s">
        <v>189</v>
      </c>
      <c r="E6" s="112">
        <f>SUMPRODUCT(板的工程量计算!M30:M108,板的工程量计算!J30:J108)</f>
        <v>4250.2708892000001</v>
      </c>
      <c r="F6" s="112">
        <f>SUMPRODUCT(板的工程量计算!M30:M108,板的工程量计算!K30:K108)</f>
        <v>319.68</v>
      </c>
      <c r="G6" s="113">
        <f>SUMPRODUCT(板的工程量计算!M30:M108,板的工程量计算!L30:L108)</f>
        <v>38.361599999999996</v>
      </c>
    </row>
    <row r="7" spans="2:7" x14ac:dyDescent="0.15">
      <c r="B7" s="250"/>
      <c r="C7" s="249" t="s">
        <v>183</v>
      </c>
      <c r="D7" s="99" t="s">
        <v>187</v>
      </c>
      <c r="E7" s="114">
        <f>SUMPRODUCT(柱工程量计算!R3:R72,柱工程量计算!N3:N72)</f>
        <v>3117.4607155200006</v>
      </c>
      <c r="F7" s="114">
        <f>SUMPRODUCT(柱工程量计算!R3:R72,柱工程量计算!P3:P72)</f>
        <v>103.68</v>
      </c>
      <c r="G7" s="115">
        <f>SUMPRODUCT(柱工程量计算!R3:R72,柱工程量计算!O3:O72)</f>
        <v>15.551999999999998</v>
      </c>
    </row>
    <row r="8" spans="2:7" x14ac:dyDescent="0.15">
      <c r="B8" s="250"/>
      <c r="C8" s="185"/>
      <c r="D8" s="93" t="s">
        <v>188</v>
      </c>
      <c r="E8" s="110">
        <f>SUMPRODUCT(梁的工程量的计算!Q5:Q280,梁的工程量的计算!O5:O280)</f>
        <v>4527.4269483982353</v>
      </c>
      <c r="F8" s="110">
        <f>SUMPRODUCT(梁的工程量的计算!Q5:Q280,梁的工程量的计算!M5:M280)</f>
        <v>146.69499999999999</v>
      </c>
      <c r="G8" s="111">
        <f>SUMPRODUCT(梁的工程量的计算!Q5:Q280,梁的工程量的计算!N5:N280)</f>
        <v>14.605499999999999</v>
      </c>
    </row>
    <row r="9" spans="2:7" ht="14.25" thickBot="1" x14ac:dyDescent="0.2">
      <c r="B9" s="251"/>
      <c r="C9" s="248"/>
      <c r="D9" s="8" t="s">
        <v>189</v>
      </c>
      <c r="E9" s="112">
        <f>SUMPRODUCT(板的工程量计算!N30:N108,板的工程量计算!J30:J108)</f>
        <v>4040.7820885199999</v>
      </c>
      <c r="F9" s="112">
        <f>SUMPRODUCT(板的工程量计算!N30:N108,板的工程量计算!K30:K108)</f>
        <v>295.91999999999996</v>
      </c>
      <c r="G9" s="113">
        <f>SUMPRODUCT(板的工程量计算!N30:N108,板的工程量计算!L30:L108)</f>
        <v>35.51039999999999</v>
      </c>
    </row>
    <row r="10" spans="2:7" x14ac:dyDescent="0.15">
      <c r="B10" s="250" t="s">
        <v>244</v>
      </c>
      <c r="C10" s="191" t="s">
        <v>182</v>
      </c>
      <c r="D10" s="95" t="s">
        <v>187</v>
      </c>
      <c r="E10" s="108">
        <f>SUMPRODUCT(柱工程量计算!Q73:Q103,柱工程量计算!N73:N103)</f>
        <v>2656.3988275200004</v>
      </c>
      <c r="F10" s="108">
        <f>SUMPRODUCT(柱工程量计算!Q73:Q103,柱工程量计算!P73:P103)</f>
        <v>100.79999999999998</v>
      </c>
      <c r="G10" s="109">
        <f>SUMPRODUCT(柱工程量计算!Q73:Q103,柱工程量计算!O73:O103)</f>
        <v>12.599999999999998</v>
      </c>
    </row>
    <row r="11" spans="2:7" x14ac:dyDescent="0.15">
      <c r="B11" s="250"/>
      <c r="C11" s="185"/>
      <c r="D11" s="93" t="s">
        <v>188</v>
      </c>
      <c r="E11" s="110">
        <f>SUMPRODUCT(梁的工程量的计算!P281:P506,梁的工程量的计算!O281:O506)</f>
        <v>5408.6215764476474</v>
      </c>
      <c r="F11" s="110">
        <f>SUMPRODUCT(梁的工程量的计算!P281:P506,梁的工程量的计算!M281:M506)</f>
        <v>139.5</v>
      </c>
      <c r="G11" s="111">
        <f>SUMPRODUCT(梁的工程量的计算!P281:P506,梁的工程量的计算!N281:N506)</f>
        <v>13.791</v>
      </c>
    </row>
    <row r="12" spans="2:7" ht="14.25" thickBot="1" x14ac:dyDescent="0.2">
      <c r="B12" s="250"/>
      <c r="C12" s="248"/>
      <c r="D12" s="8" t="s">
        <v>189</v>
      </c>
      <c r="E12" s="112">
        <f>SUMPRODUCT(板的工程量计算!M139:M217,板的工程量计算!J139:J217)</f>
        <v>4007.3524608800003</v>
      </c>
      <c r="F12" s="112">
        <f>SUMPRODUCT(板的工程量计算!M139:M217,板的工程量计算!K139:K217)</f>
        <v>319.68</v>
      </c>
      <c r="G12" s="113">
        <f>SUMPRODUCT(板的工程量计算!M139:M217,板的工程量计算!L139:L217)</f>
        <v>38.361599999999996</v>
      </c>
    </row>
    <row r="13" spans="2:7" x14ac:dyDescent="0.15">
      <c r="B13" s="250"/>
      <c r="C13" s="191" t="s">
        <v>183</v>
      </c>
      <c r="D13" s="95" t="s">
        <v>187</v>
      </c>
      <c r="E13" s="108">
        <f>SUMPRODUCT(柱工程量计算!R73:R103,柱工程量计算!N73:N103)</f>
        <v>2007.74978784</v>
      </c>
      <c r="F13" s="108">
        <f>SUMPRODUCT(柱工程量计算!R73:R103,柱工程量计算!P73:P103)</f>
        <v>75.599999999999994</v>
      </c>
      <c r="G13" s="109">
        <f>SUMPRODUCT(柱工程量计算!R73:R103,柱工程量计算!O73:O103)</f>
        <v>9.4499999999999993</v>
      </c>
    </row>
    <row r="14" spans="2:7" x14ac:dyDescent="0.15">
      <c r="B14" s="250"/>
      <c r="C14" s="185"/>
      <c r="D14" s="93" t="s">
        <v>188</v>
      </c>
      <c r="E14" s="110">
        <f>SUMPRODUCT(梁的工程量的计算!Q281:Q506,梁的工程量的计算!O281:O506)</f>
        <v>5391.6478589023545</v>
      </c>
      <c r="F14" s="110">
        <f>SUMPRODUCT(梁的工程量的计算!Q281:Q506,梁的工程量的计算!M281:M506)</f>
        <v>176.39499999999998</v>
      </c>
      <c r="G14" s="111">
        <f>SUMPRODUCT(梁的工程量的计算!Q281:Q506,梁的工程量的计算!N281:N506)</f>
        <v>17.526</v>
      </c>
    </row>
    <row r="15" spans="2:7" ht="14.25" thickBot="1" x14ac:dyDescent="0.2">
      <c r="B15" s="251"/>
      <c r="C15" s="248"/>
      <c r="D15" s="8" t="s">
        <v>189</v>
      </c>
      <c r="E15" s="112">
        <f>SUMPRODUCT(板的工程量计算!N139:N217,板的工程量计算!J139:J217)</f>
        <v>4160.1112952800004</v>
      </c>
      <c r="F15" s="112">
        <f>SUMPRODUCT(板的工程量计算!N139:N217,板的工程量计算!K139:K217)</f>
        <v>315.35999999999996</v>
      </c>
      <c r="G15" s="113">
        <f>SUMPRODUCT(板的工程量计算!N139:N217,板的工程量计算!L139:L217)</f>
        <v>37.843199999999989</v>
      </c>
    </row>
    <row r="16" spans="2:7" x14ac:dyDescent="0.15">
      <c r="B16" s="242" t="s">
        <v>193</v>
      </c>
      <c r="C16" s="245" t="s">
        <v>182</v>
      </c>
      <c r="D16" s="99" t="s">
        <v>246</v>
      </c>
      <c r="E16" s="114">
        <f>SUMPRODUCT(柱工程量计算!Q73:Q103,柱工程量计算!N73:N103)</f>
        <v>2656.3988275200004</v>
      </c>
      <c r="F16" s="114">
        <f>SUMPRODUCT(柱工程量计算!Q73:Q103,柱工程量计算!P73:P103)</f>
        <v>100.79999999999998</v>
      </c>
      <c r="G16" s="156">
        <f>SUMPRODUCT(柱工程量计算!Q73:Q103,柱工程量计算!O73:O103)</f>
        <v>12.599999999999998</v>
      </c>
    </row>
    <row r="17" spans="2:8" x14ac:dyDescent="0.15">
      <c r="B17" s="243"/>
      <c r="C17" s="245"/>
      <c r="D17" s="99" t="s">
        <v>188</v>
      </c>
      <c r="E17" s="114">
        <f>SUMPRODUCT(梁的工程量的计算!P507:P623,梁的工程量的计算!O507:O623)</f>
        <v>5745.2206076172943</v>
      </c>
      <c r="F17" s="114">
        <f>SUMPRODUCT(梁的工程量的计算!P507:P623,梁的工程量的计算!M507:M623)</f>
        <v>173.7</v>
      </c>
      <c r="G17" s="115">
        <f>SUMPRODUCT(梁的工程量的计算!P507:P623,梁的工程量的计算!N507:N623)</f>
        <v>17.231999999999999</v>
      </c>
    </row>
    <row r="18" spans="2:8" ht="14.25" thickBot="1" x14ac:dyDescent="0.2">
      <c r="B18" s="243"/>
      <c r="C18" s="246"/>
      <c r="D18" s="8" t="s">
        <v>189</v>
      </c>
      <c r="E18" s="112">
        <f>SUMPRODUCT(板的工程量计算!M246:M337,板的工程量计算!J246:J337)</f>
        <v>4491.7164644800005</v>
      </c>
      <c r="F18" s="112">
        <f>SUMPRODUCT(板的工程量计算!M246:M337,板的工程量计算!K246:K337)</f>
        <v>380.15999999999997</v>
      </c>
      <c r="G18" s="113">
        <f>SUMPRODUCT(板的工程量计算!M246:M337,板的工程量计算!L246:L337)</f>
        <v>45.619199999999992</v>
      </c>
      <c r="H18" s="68"/>
    </row>
    <row r="19" spans="2:8" x14ac:dyDescent="0.15">
      <c r="B19" s="243"/>
      <c r="C19" s="247" t="s">
        <v>183</v>
      </c>
      <c r="D19" s="98" t="s">
        <v>246</v>
      </c>
      <c r="E19" s="155">
        <f>SUMPRODUCT(柱工程量计算!R73:R103,柱工程量计算!N73:N103)</f>
        <v>2007.74978784</v>
      </c>
      <c r="F19" s="155">
        <f>SUMPRODUCT(柱工程量计算!R73:R103,柱工程量计算!P73:P103)</f>
        <v>75.599999999999994</v>
      </c>
      <c r="G19" s="156">
        <f>SUMPRODUCT(柱工程量计算!R73:R103,柱工程量计算!O73:O103)</f>
        <v>9.4499999999999993</v>
      </c>
      <c r="H19" s="68"/>
    </row>
    <row r="20" spans="2:8" x14ac:dyDescent="0.15">
      <c r="B20" s="243"/>
      <c r="C20" s="245"/>
      <c r="D20" s="93" t="s">
        <v>188</v>
      </c>
      <c r="E20" s="110">
        <f>SUMPRODUCT(梁的工程量的计算!Q507:Q623,梁的工程量的计算!O507:O623)</f>
        <v>2995.6493950664703</v>
      </c>
      <c r="F20" s="110">
        <f>SUMPRODUCT(梁的工程量的计算!Q507:Q623,梁的工程量的计算!M507:M623)</f>
        <v>156.60000000000002</v>
      </c>
      <c r="G20" s="111">
        <f>SUMPRODUCT(梁的工程量的计算!Q507:Q623,梁的工程量的计算!N507:N623)</f>
        <v>15.5115</v>
      </c>
      <c r="H20" s="68"/>
    </row>
    <row r="21" spans="2:8" ht="14.25" thickBot="1" x14ac:dyDescent="0.2">
      <c r="B21" s="244"/>
      <c r="C21" s="246"/>
      <c r="D21" s="8" t="s">
        <v>189</v>
      </c>
      <c r="E21" s="112">
        <f>SUMPRODUCT(板的工程量计算!N246:N337,板的工程量计算!J246:J337)</f>
        <v>4244.3378912400003</v>
      </c>
      <c r="F21" s="112">
        <f>SUMPRODUCT(板的工程量计算!N246:N337,板的工程量计算!K246:K337)</f>
        <v>356.4</v>
      </c>
      <c r="G21" s="113">
        <f>SUMPRODUCT(板的工程量计算!N246:N337,板的工程量计算!L246:L337)</f>
        <v>42.767999999999994</v>
      </c>
      <c r="H21" s="68"/>
    </row>
    <row r="22" spans="2:8" x14ac:dyDescent="0.15">
      <c r="H22" s="68"/>
    </row>
    <row r="23" spans="2:8" x14ac:dyDescent="0.15">
      <c r="H23" s="68"/>
    </row>
  </sheetData>
  <mergeCells count="10">
    <mergeCell ref="B2:G2"/>
    <mergeCell ref="B16:B21"/>
    <mergeCell ref="C16:C18"/>
    <mergeCell ref="C19:C21"/>
    <mergeCell ref="C4:C6"/>
    <mergeCell ref="C7:C9"/>
    <mergeCell ref="B4:B9"/>
    <mergeCell ref="B10:B15"/>
    <mergeCell ref="C10:C12"/>
    <mergeCell ref="C13:C15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workbookViewId="0"/>
  </sheetViews>
  <sheetFormatPr defaultColWidth="9" defaultRowHeight="13.5" x14ac:dyDescent="0.15"/>
  <cols>
    <col min="1" max="1" width="9" style="134"/>
    <col min="2" max="2" width="11" style="134" bestFit="1" customWidth="1"/>
    <col min="3" max="3" width="12.75" style="134" bestFit="1" customWidth="1"/>
    <col min="4" max="4" width="13.5" style="134" customWidth="1"/>
    <col min="5" max="5" width="14.5" style="134" customWidth="1"/>
    <col min="6" max="6" width="15.25" style="134" customWidth="1"/>
    <col min="7" max="7" width="9.125" style="134" bestFit="1" customWidth="1"/>
    <col min="8" max="8" width="11" style="134" bestFit="1" customWidth="1"/>
    <col min="9" max="9" width="12.75" style="134" bestFit="1" customWidth="1"/>
    <col min="10" max="10" width="9.5" style="134" bestFit="1" customWidth="1"/>
    <col min="11" max="11" width="12.75" style="134" bestFit="1" customWidth="1"/>
    <col min="12" max="12" width="12.625" style="134" customWidth="1"/>
    <col min="13" max="13" width="9.125" style="134" bestFit="1" customWidth="1"/>
    <col min="14" max="14" width="12.625" style="134" customWidth="1"/>
    <col min="15" max="16384" width="9" style="134"/>
  </cols>
  <sheetData>
    <row r="1" spans="1:14" ht="13.5" customHeight="1" x14ac:dyDescent="0.15">
      <c r="A1" s="135"/>
      <c r="B1" s="136"/>
      <c r="C1" s="136"/>
      <c r="D1" s="136"/>
      <c r="E1" s="137"/>
      <c r="F1" s="137"/>
      <c r="G1" s="137"/>
      <c r="H1" s="137"/>
      <c r="I1" s="138"/>
      <c r="J1" s="137"/>
      <c r="K1" s="139"/>
      <c r="L1" s="139"/>
      <c r="M1" s="139"/>
      <c r="N1" s="133"/>
    </row>
    <row r="2" spans="1:14" ht="13.5" customHeight="1" x14ac:dyDescent="0.15">
      <c r="A2" s="253" t="s">
        <v>217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133"/>
    </row>
    <row r="3" spans="1:14" ht="13.5" customHeight="1" x14ac:dyDescent="0.15">
      <c r="A3" s="252" t="s">
        <v>212</v>
      </c>
      <c r="B3" s="153" t="s">
        <v>211</v>
      </c>
      <c r="C3" s="153" t="s">
        <v>210</v>
      </c>
      <c r="D3" s="153" t="s">
        <v>209</v>
      </c>
      <c r="E3" s="153" t="s">
        <v>213</v>
      </c>
      <c r="F3" s="153" t="s">
        <v>208</v>
      </c>
      <c r="G3" s="153" t="s">
        <v>207</v>
      </c>
      <c r="H3" s="153" t="s">
        <v>211</v>
      </c>
      <c r="I3" s="153" t="s">
        <v>210</v>
      </c>
      <c r="J3" s="153" t="s">
        <v>209</v>
      </c>
      <c r="K3" s="153" t="s">
        <v>213</v>
      </c>
      <c r="L3" s="153" t="s">
        <v>208</v>
      </c>
      <c r="M3" s="153" t="s">
        <v>207</v>
      </c>
    </row>
    <row r="4" spans="1:14" ht="13.5" customHeight="1" x14ac:dyDescent="0.15">
      <c r="A4" s="252"/>
      <c r="B4" s="153" t="s">
        <v>206</v>
      </c>
      <c r="C4" s="153">
        <f>2.86*工程量统计!E4/1000</f>
        <v>11.552713599398402</v>
      </c>
      <c r="D4" s="153">
        <v>18</v>
      </c>
      <c r="E4" s="153">
        <f>IF(C4/D4&lt;1,ROUNDUP(C4/D4,0),ROUND(C4/D4,0))</f>
        <v>1</v>
      </c>
      <c r="F4" s="153" t="s">
        <v>214</v>
      </c>
      <c r="G4" s="154">
        <v>2.86</v>
      </c>
      <c r="H4" s="153" t="s">
        <v>221</v>
      </c>
      <c r="I4" s="153">
        <f>M4/1000*工程量统计!E5</f>
        <v>24.885106296078401</v>
      </c>
      <c r="J4" s="254">
        <v>18</v>
      </c>
      <c r="K4" s="254">
        <f>IF((I4+I5)/J4&lt;1,ROUNDUP((I4+I5)/J4,0),ROUND((I4+I5)/J4,0))</f>
        <v>2</v>
      </c>
      <c r="L4" s="153" t="s">
        <v>214</v>
      </c>
      <c r="M4" s="153">
        <v>3.4</v>
      </c>
    </row>
    <row r="5" spans="1:14" ht="13.5" customHeight="1" x14ac:dyDescent="0.15">
      <c r="A5" s="252"/>
      <c r="B5" s="153" t="s">
        <v>205</v>
      </c>
      <c r="C5" s="153">
        <f>工程量统计!F4/10*1.59</f>
        <v>21.980160000000005</v>
      </c>
      <c r="D5" s="153">
        <v>35</v>
      </c>
      <c r="E5" s="153">
        <f t="shared" ref="E5:E7" si="0">IF(C5/D5&lt;1,ROUNDUP(C5/D5,0),ROUND(C5/D5,0))</f>
        <v>1</v>
      </c>
      <c r="F5" s="153" t="s">
        <v>215</v>
      </c>
      <c r="G5" s="153">
        <v>1.59</v>
      </c>
      <c r="H5" s="153" t="s">
        <v>203</v>
      </c>
      <c r="I5" s="153">
        <f>M5/1000*工程量统计!E6</f>
        <v>12.878320794275998</v>
      </c>
      <c r="J5" s="254"/>
      <c r="K5" s="254"/>
      <c r="L5" s="153" t="s">
        <v>214</v>
      </c>
      <c r="M5" s="153">
        <v>3.03</v>
      </c>
    </row>
    <row r="6" spans="1:14" ht="13.5" customHeight="1" x14ac:dyDescent="0.15">
      <c r="A6" s="252"/>
      <c r="B6" s="153" t="s">
        <v>204</v>
      </c>
      <c r="C6" s="153">
        <f>G6*工程量统计!G4</f>
        <v>22.394879999999997</v>
      </c>
      <c r="D6" s="153">
        <v>25</v>
      </c>
      <c r="E6" s="153">
        <f t="shared" si="0"/>
        <v>1</v>
      </c>
      <c r="F6" s="153" t="s">
        <v>216</v>
      </c>
      <c r="G6" s="154">
        <v>1.08</v>
      </c>
      <c r="H6" s="153" t="s">
        <v>201</v>
      </c>
      <c r="I6" s="153">
        <f>工程量统计!G5*M6</f>
        <v>9.4776000000000007</v>
      </c>
      <c r="J6" s="254">
        <v>25</v>
      </c>
      <c r="K6" s="254">
        <f t="shared" ref="K6" si="1">IF((I6+I7)/J6&lt;1,ROUNDUP((I6+I7)/J6,0),ROUND((I6+I7)/J6,0))</f>
        <v>1</v>
      </c>
      <c r="L6" s="153" t="s">
        <v>216</v>
      </c>
      <c r="M6" s="153">
        <v>0.55000000000000004</v>
      </c>
    </row>
    <row r="7" spans="1:14" ht="13.5" customHeight="1" x14ac:dyDescent="0.15">
      <c r="A7" s="252"/>
      <c r="B7" s="153" t="s">
        <v>202</v>
      </c>
      <c r="C7" s="153">
        <f>G7*工程量统计!F4/10</f>
        <v>9.4003200000000007</v>
      </c>
      <c r="D7" s="153">
        <v>35</v>
      </c>
      <c r="E7" s="153">
        <f t="shared" si="0"/>
        <v>1</v>
      </c>
      <c r="F7" s="153" t="s">
        <v>215</v>
      </c>
      <c r="G7" s="153">
        <v>0.68</v>
      </c>
      <c r="H7" s="153" t="s">
        <v>200</v>
      </c>
      <c r="I7" s="153">
        <f>工程量统计!G6*M7</f>
        <v>21.482496000000001</v>
      </c>
      <c r="J7" s="254"/>
      <c r="K7" s="254"/>
      <c r="L7" s="153" t="s">
        <v>216</v>
      </c>
      <c r="M7" s="153">
        <v>0.56000000000000005</v>
      </c>
    </row>
    <row r="8" spans="1:14" ht="13.5" customHeight="1" x14ac:dyDescent="0.15">
      <c r="A8" s="252"/>
      <c r="B8" s="153" t="s">
        <v>218</v>
      </c>
      <c r="C8" s="153">
        <f>G8/10*工程量统计!F5</f>
        <v>23.558255999999997</v>
      </c>
      <c r="D8" s="254">
        <v>35</v>
      </c>
      <c r="E8" s="255">
        <f>IF((C8+C9)/D8&lt;1,ROUNDUP((C8+C9)/D8,0),ROUND((C8+C9)/D8,0))</f>
        <v>2</v>
      </c>
      <c r="F8" s="153" t="s">
        <v>215</v>
      </c>
      <c r="G8" s="153">
        <v>1.38</v>
      </c>
      <c r="H8" s="153" t="s">
        <v>219</v>
      </c>
      <c r="I8" s="153">
        <f>M8/10*工程量统计!F5</f>
        <v>11.09628</v>
      </c>
      <c r="J8" s="254">
        <v>25</v>
      </c>
      <c r="K8" s="254">
        <f t="shared" ref="K8" si="2">IF((I8+I9)/J8&lt;1,ROUNDUP((I8+I9)/J8,0),ROUND((I8+I9)/J8,0))</f>
        <v>1</v>
      </c>
      <c r="L8" s="153" t="s">
        <v>215</v>
      </c>
      <c r="M8" s="153">
        <v>0.65</v>
      </c>
    </row>
    <row r="9" spans="1:14" ht="13.5" customHeight="1" x14ac:dyDescent="0.15">
      <c r="A9" s="252"/>
      <c r="B9" s="153" t="s">
        <v>199</v>
      </c>
      <c r="C9" s="153">
        <f>G9/10*工程量统计!F6</f>
        <v>35.164800000000007</v>
      </c>
      <c r="D9" s="254"/>
      <c r="E9" s="256"/>
      <c r="F9" s="153" t="s">
        <v>215</v>
      </c>
      <c r="G9" s="153">
        <v>1.1000000000000001</v>
      </c>
      <c r="H9" s="153" t="s">
        <v>198</v>
      </c>
      <c r="I9" s="153">
        <f>M9/10*工程量统计!F6</f>
        <v>15.120863999999999</v>
      </c>
      <c r="J9" s="254"/>
      <c r="K9" s="254"/>
      <c r="L9" s="153" t="s">
        <v>215</v>
      </c>
      <c r="M9" s="153">
        <v>0.47299999999999998</v>
      </c>
    </row>
    <row r="10" spans="1:14" ht="13.5" customHeight="1" x14ac:dyDescent="0.15">
      <c r="A10" s="252" t="s">
        <v>220</v>
      </c>
      <c r="B10" s="153" t="s">
        <v>211</v>
      </c>
      <c r="C10" s="153" t="s">
        <v>210</v>
      </c>
      <c r="D10" s="153" t="s">
        <v>209</v>
      </c>
      <c r="E10" s="153" t="s">
        <v>213</v>
      </c>
      <c r="F10" s="153" t="s">
        <v>208</v>
      </c>
      <c r="G10" s="153" t="s">
        <v>207</v>
      </c>
      <c r="H10" s="153" t="s">
        <v>211</v>
      </c>
      <c r="I10" s="153" t="s">
        <v>210</v>
      </c>
      <c r="J10" s="153" t="s">
        <v>209</v>
      </c>
      <c r="K10" s="153" t="s">
        <v>213</v>
      </c>
      <c r="L10" s="153" t="s">
        <v>208</v>
      </c>
      <c r="M10" s="153" t="s">
        <v>207</v>
      </c>
    </row>
    <row r="11" spans="1:14" ht="13.5" customHeight="1" x14ac:dyDescent="0.15">
      <c r="A11" s="252"/>
      <c r="B11" s="153" t="s">
        <v>206</v>
      </c>
      <c r="C11" s="153">
        <f>2.86*工程量统计!E7/1000</f>
        <v>8.9159376463872011</v>
      </c>
      <c r="D11" s="153">
        <v>18</v>
      </c>
      <c r="E11" s="153">
        <f>IF(C11/D11&lt;1,ROUNDUP(C11/D11,0),ROUND(C11/D11,0))</f>
        <v>1</v>
      </c>
      <c r="F11" s="153" t="s">
        <v>214</v>
      </c>
      <c r="G11" s="154">
        <v>2.86</v>
      </c>
      <c r="H11" s="153" t="s">
        <v>221</v>
      </c>
      <c r="I11" s="153">
        <f>M11/1000*工程量统计!E8</f>
        <v>15.393251624553999</v>
      </c>
      <c r="J11" s="254">
        <v>18</v>
      </c>
      <c r="K11" s="254">
        <f>IF((I11+I12)/J11&lt;1,ROUNDUP((I11+I12)/J11,0),ROUND((I11+I12)/J11,0))</f>
        <v>2</v>
      </c>
      <c r="L11" s="153" t="s">
        <v>214</v>
      </c>
      <c r="M11" s="153">
        <v>3.4</v>
      </c>
    </row>
    <row r="12" spans="1:14" ht="13.5" customHeight="1" x14ac:dyDescent="0.15">
      <c r="A12" s="252"/>
      <c r="B12" s="153" t="s">
        <v>205</v>
      </c>
      <c r="C12" s="153">
        <f>工程量统计!F7/10*1.59</f>
        <v>16.485120000000002</v>
      </c>
      <c r="D12" s="153">
        <v>35</v>
      </c>
      <c r="E12" s="153">
        <f t="shared" ref="E12:E14" si="3">IF(C12/D12&lt;1,ROUNDUP(C12/D12,0),ROUND(C12/D12,0))</f>
        <v>1</v>
      </c>
      <c r="F12" s="153" t="s">
        <v>215</v>
      </c>
      <c r="G12" s="153">
        <v>1.59</v>
      </c>
      <c r="H12" s="153" t="s">
        <v>203</v>
      </c>
      <c r="I12" s="153">
        <f>M12/1000*工程量统计!E9</f>
        <v>12.243569728215599</v>
      </c>
      <c r="J12" s="254"/>
      <c r="K12" s="254"/>
      <c r="L12" s="153" t="s">
        <v>214</v>
      </c>
      <c r="M12" s="153">
        <v>3.03</v>
      </c>
    </row>
    <row r="13" spans="1:14" ht="13.5" customHeight="1" x14ac:dyDescent="0.15">
      <c r="A13" s="252"/>
      <c r="B13" s="153" t="s">
        <v>204</v>
      </c>
      <c r="C13" s="153">
        <f>G13*工程量统计!G7</f>
        <v>16.79616</v>
      </c>
      <c r="D13" s="153">
        <v>25</v>
      </c>
      <c r="E13" s="153">
        <f t="shared" si="3"/>
        <v>1</v>
      </c>
      <c r="F13" s="153" t="s">
        <v>216</v>
      </c>
      <c r="G13" s="154">
        <v>1.08</v>
      </c>
      <c r="H13" s="153" t="s">
        <v>201</v>
      </c>
      <c r="I13" s="153">
        <f>工程量统计!G8*M13</f>
        <v>8.0330250000000003</v>
      </c>
      <c r="J13" s="254">
        <v>25</v>
      </c>
      <c r="K13" s="254">
        <f t="shared" ref="K13" si="4">IF((I13+I14)/J13&lt;1,ROUNDUP((I13+I14)/J13,0),ROUND((I13+I14)/J13,0))</f>
        <v>1</v>
      </c>
      <c r="L13" s="153" t="s">
        <v>216</v>
      </c>
      <c r="M13" s="153">
        <v>0.55000000000000004</v>
      </c>
    </row>
    <row r="14" spans="1:14" ht="13.5" customHeight="1" x14ac:dyDescent="0.15">
      <c r="A14" s="252"/>
      <c r="B14" s="153" t="s">
        <v>202</v>
      </c>
      <c r="C14" s="153">
        <f>G14*工程量统计!F7/10</f>
        <v>7.0502400000000005</v>
      </c>
      <c r="D14" s="153">
        <v>35</v>
      </c>
      <c r="E14" s="153">
        <f t="shared" si="3"/>
        <v>1</v>
      </c>
      <c r="F14" s="153" t="s">
        <v>215</v>
      </c>
      <c r="G14" s="153">
        <v>0.68</v>
      </c>
      <c r="H14" s="153" t="s">
        <v>200</v>
      </c>
      <c r="I14" s="153">
        <f>工程量统计!G9*M14</f>
        <v>19.885823999999996</v>
      </c>
      <c r="J14" s="254"/>
      <c r="K14" s="254"/>
      <c r="L14" s="153" t="s">
        <v>216</v>
      </c>
      <c r="M14" s="153">
        <v>0.56000000000000005</v>
      </c>
    </row>
    <row r="15" spans="1:14" ht="13.5" customHeight="1" x14ac:dyDescent="0.15">
      <c r="A15" s="252"/>
      <c r="B15" s="153" t="s">
        <v>218</v>
      </c>
      <c r="C15" s="153">
        <f>G15/10*工程量统计!F8</f>
        <v>20.243909999999996</v>
      </c>
      <c r="D15" s="254">
        <v>35</v>
      </c>
      <c r="E15" s="254">
        <f>IF((C15+C16)/D15&lt;1,ROUNDUP((C15+C16)/D15,0),ROUND((C15+C16)/D15,0))</f>
        <v>2</v>
      </c>
      <c r="F15" s="153" t="s">
        <v>215</v>
      </c>
      <c r="G15" s="153">
        <v>1.38</v>
      </c>
      <c r="H15" s="153" t="s">
        <v>219</v>
      </c>
      <c r="I15" s="153">
        <f>M15/10*工程量统计!F8</f>
        <v>9.5351750000000006</v>
      </c>
      <c r="J15" s="254">
        <v>25</v>
      </c>
      <c r="K15" s="254">
        <f t="shared" ref="K15" si="5">IF((I15+I16)/J15&lt;1,ROUNDUP((I15+I16)/J15,0),ROUND((I15+I16)/J15,0))</f>
        <v>1</v>
      </c>
      <c r="L15" s="153" t="s">
        <v>215</v>
      </c>
      <c r="M15" s="153">
        <v>0.65</v>
      </c>
    </row>
    <row r="16" spans="1:14" ht="13.5" customHeight="1" x14ac:dyDescent="0.15">
      <c r="A16" s="252"/>
      <c r="B16" s="153" t="s">
        <v>199</v>
      </c>
      <c r="C16" s="153">
        <f>G16/10*工程量统计!F9</f>
        <v>32.551200000000001</v>
      </c>
      <c r="D16" s="254"/>
      <c r="E16" s="254"/>
      <c r="F16" s="153" t="s">
        <v>215</v>
      </c>
      <c r="G16" s="153">
        <v>1.1000000000000001</v>
      </c>
      <c r="H16" s="153" t="s">
        <v>198</v>
      </c>
      <c r="I16" s="153">
        <f>M16/10*工程量统计!F9</f>
        <v>13.997015999999997</v>
      </c>
      <c r="J16" s="254"/>
      <c r="K16" s="254"/>
      <c r="L16" s="153" t="s">
        <v>215</v>
      </c>
      <c r="M16" s="153">
        <v>0.47299999999999998</v>
      </c>
    </row>
    <row r="17" spans="1:15" ht="13.5" customHeight="1" x14ac:dyDescent="0.15">
      <c r="A17" s="130"/>
      <c r="B17" s="140"/>
      <c r="C17" s="140"/>
      <c r="D17" s="142"/>
      <c r="E17" s="142"/>
      <c r="F17" s="137"/>
      <c r="G17" s="137"/>
      <c r="H17" s="140"/>
      <c r="I17" s="140"/>
      <c r="J17" s="142"/>
      <c r="K17" s="142"/>
      <c r="L17" s="137"/>
      <c r="M17" s="137"/>
    </row>
    <row r="18" spans="1:15" ht="13.5" customHeight="1" x14ac:dyDescent="0.15">
      <c r="A18" s="130"/>
      <c r="B18" s="141"/>
      <c r="C18" s="141"/>
      <c r="D18" s="141"/>
      <c r="E18" s="141"/>
      <c r="F18" s="141"/>
      <c r="G18" s="137"/>
      <c r="H18" s="140"/>
      <c r="I18" s="140"/>
      <c r="J18" s="142"/>
      <c r="K18" s="142"/>
      <c r="L18" s="137"/>
      <c r="M18" s="137"/>
    </row>
    <row r="19" spans="1:15" ht="13.5" customHeight="1" x14ac:dyDescent="0.15">
      <c r="A19" s="253" t="s">
        <v>245</v>
      </c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</row>
    <row r="20" spans="1:15" ht="13.5" customHeight="1" x14ac:dyDescent="0.15">
      <c r="A20" s="252" t="s">
        <v>212</v>
      </c>
      <c r="B20" s="153" t="s">
        <v>211</v>
      </c>
      <c r="C20" s="153" t="s">
        <v>210</v>
      </c>
      <c r="D20" s="153" t="s">
        <v>209</v>
      </c>
      <c r="E20" s="153" t="s">
        <v>213</v>
      </c>
      <c r="F20" s="153" t="s">
        <v>208</v>
      </c>
      <c r="G20" s="153" t="s">
        <v>207</v>
      </c>
      <c r="H20" s="153" t="s">
        <v>211</v>
      </c>
      <c r="I20" s="153" t="s">
        <v>210</v>
      </c>
      <c r="J20" s="153" t="s">
        <v>209</v>
      </c>
      <c r="K20" s="153" t="s">
        <v>213</v>
      </c>
      <c r="L20" s="153" t="s">
        <v>208</v>
      </c>
      <c r="M20" s="153" t="s">
        <v>207</v>
      </c>
    </row>
    <row r="21" spans="1:15" ht="13.5" customHeight="1" x14ac:dyDescent="0.15">
      <c r="A21" s="252"/>
      <c r="B21" s="153" t="s">
        <v>206</v>
      </c>
      <c r="C21" s="153">
        <f>2.86*工程量统计!E10/1000</f>
        <v>7.5973006467072013</v>
      </c>
      <c r="D21" s="153">
        <v>18</v>
      </c>
      <c r="E21" s="153">
        <f>IF(C21/D21&lt;1,ROUNDUP(C21/D21,0),ROUND(C21/D21,0))</f>
        <v>1</v>
      </c>
      <c r="F21" s="153" t="s">
        <v>214</v>
      </c>
      <c r="G21" s="154">
        <v>2.86</v>
      </c>
      <c r="H21" s="153" t="s">
        <v>221</v>
      </c>
      <c r="I21" s="153">
        <f>M21/1000*工程量统计!E11</f>
        <v>18.389313359921999</v>
      </c>
      <c r="J21" s="254">
        <v>18</v>
      </c>
      <c r="K21" s="254">
        <f>IF((I21+I22)/J21&lt;1,ROUNDUP((I21+I22)/J21,0),ROUND((I21+I22)/J21,0))</f>
        <v>2</v>
      </c>
      <c r="L21" s="153" t="s">
        <v>214</v>
      </c>
      <c r="M21" s="153">
        <v>3.4</v>
      </c>
    </row>
    <row r="22" spans="1:15" ht="13.5" customHeight="1" x14ac:dyDescent="0.15">
      <c r="A22" s="252"/>
      <c r="B22" s="153" t="s">
        <v>205</v>
      </c>
      <c r="C22" s="153">
        <f>工程量统计!F10/10*1.59</f>
        <v>16.027199999999997</v>
      </c>
      <c r="D22" s="153">
        <v>35</v>
      </c>
      <c r="E22" s="153">
        <f t="shared" ref="E22:E24" si="6">IF(C22/D22&lt;1,ROUNDUP(C22/D22,0),ROUND(C22/D22,0))</f>
        <v>1</v>
      </c>
      <c r="F22" s="153" t="s">
        <v>215</v>
      </c>
      <c r="G22" s="153">
        <v>1.59</v>
      </c>
      <c r="H22" s="153" t="s">
        <v>203</v>
      </c>
      <c r="I22" s="153">
        <f>M22/1000*工程量统计!E12</f>
        <v>12.142277956466399</v>
      </c>
      <c r="J22" s="254"/>
      <c r="K22" s="254"/>
      <c r="L22" s="153" t="s">
        <v>214</v>
      </c>
      <c r="M22" s="153">
        <v>3.03</v>
      </c>
    </row>
    <row r="23" spans="1:15" ht="13.5" customHeight="1" x14ac:dyDescent="0.15">
      <c r="A23" s="252"/>
      <c r="B23" s="153" t="s">
        <v>204</v>
      </c>
      <c r="C23" s="153">
        <f>G23*工程量统计!G10</f>
        <v>13.607999999999999</v>
      </c>
      <c r="D23" s="153">
        <v>25</v>
      </c>
      <c r="E23" s="153">
        <f>IF(C23/D23&lt;1,ROUNDUP(C23/D23,0),ROUND(C23/D23,0))</f>
        <v>1</v>
      </c>
      <c r="F23" s="153" t="s">
        <v>216</v>
      </c>
      <c r="G23" s="154">
        <v>1.08</v>
      </c>
      <c r="H23" s="153" t="s">
        <v>201</v>
      </c>
      <c r="I23" s="153">
        <f>工程量统计!G11*M23</f>
        <v>7.5850500000000007</v>
      </c>
      <c r="J23" s="254">
        <v>25</v>
      </c>
      <c r="K23" s="254">
        <f t="shared" ref="K23" si="7">IF((I23+I24)/J23&lt;1,ROUNDUP((I23+I24)/J23,0),ROUND((I23+I24)/J23,0))</f>
        <v>1</v>
      </c>
      <c r="L23" s="153" t="s">
        <v>216</v>
      </c>
      <c r="M23" s="153">
        <v>0.55000000000000004</v>
      </c>
    </row>
    <row r="24" spans="1:15" ht="13.5" customHeight="1" x14ac:dyDescent="0.15">
      <c r="A24" s="252"/>
      <c r="B24" s="153" t="s">
        <v>202</v>
      </c>
      <c r="C24" s="153">
        <f>G24*工程量统计!F10</f>
        <v>68.543999999999997</v>
      </c>
      <c r="D24" s="153">
        <v>35</v>
      </c>
      <c r="E24" s="153">
        <f t="shared" si="6"/>
        <v>2</v>
      </c>
      <c r="F24" s="153" t="s">
        <v>215</v>
      </c>
      <c r="G24" s="153">
        <v>0.68</v>
      </c>
      <c r="H24" s="153" t="s">
        <v>200</v>
      </c>
      <c r="I24" s="153">
        <f>工程量统计!G12*M24</f>
        <v>21.482496000000001</v>
      </c>
      <c r="J24" s="254"/>
      <c r="K24" s="254"/>
      <c r="L24" s="153" t="s">
        <v>216</v>
      </c>
      <c r="M24" s="153">
        <v>0.56000000000000005</v>
      </c>
    </row>
    <row r="25" spans="1:15" ht="13.5" customHeight="1" x14ac:dyDescent="0.15">
      <c r="A25" s="252"/>
      <c r="B25" s="153" t="s">
        <v>218</v>
      </c>
      <c r="C25" s="153">
        <f>G25/10*工程量统计!F11</f>
        <v>19.250999999999998</v>
      </c>
      <c r="D25" s="254">
        <v>35</v>
      </c>
      <c r="E25" s="255">
        <f>IF((C25+C26)/D25&lt;1,ROUNDUP((C25+C26)/D25,0),ROUND((C25+C26)/D25,0))</f>
        <v>2</v>
      </c>
      <c r="F25" s="153" t="s">
        <v>215</v>
      </c>
      <c r="G25" s="153">
        <v>1.38</v>
      </c>
      <c r="H25" s="153" t="s">
        <v>219</v>
      </c>
      <c r="I25" s="153">
        <f>M25/10*工程量统计!F11</f>
        <v>9.0675000000000008</v>
      </c>
      <c r="J25" s="254">
        <v>25</v>
      </c>
      <c r="K25" s="254">
        <f t="shared" ref="K25" si="8">IF((I25+I26)/J25&lt;1,ROUNDUP((I25+I26)/J25,0),ROUND((I25+I26)/J25,0))</f>
        <v>1</v>
      </c>
      <c r="L25" s="153" t="s">
        <v>215</v>
      </c>
      <c r="M25" s="153">
        <v>0.65</v>
      </c>
      <c r="O25" s="131"/>
    </row>
    <row r="26" spans="1:15" ht="13.5" customHeight="1" x14ac:dyDescent="0.15">
      <c r="A26" s="252"/>
      <c r="B26" s="153" t="s">
        <v>199</v>
      </c>
      <c r="C26" s="153">
        <f>G26/10*工程量统计!F12</f>
        <v>35.164800000000007</v>
      </c>
      <c r="D26" s="254"/>
      <c r="E26" s="256"/>
      <c r="F26" s="153" t="s">
        <v>215</v>
      </c>
      <c r="G26" s="153">
        <v>1.1000000000000001</v>
      </c>
      <c r="H26" s="153" t="s">
        <v>198</v>
      </c>
      <c r="I26" s="153">
        <f>M26/10*工程量统计!F12</f>
        <v>15.120863999999999</v>
      </c>
      <c r="J26" s="254"/>
      <c r="K26" s="254"/>
      <c r="L26" s="153" t="s">
        <v>215</v>
      </c>
      <c r="M26" s="153">
        <v>0.47299999999999998</v>
      </c>
    </row>
    <row r="27" spans="1:15" ht="13.5" customHeight="1" x14ac:dyDescent="0.15">
      <c r="A27" s="252" t="s">
        <v>220</v>
      </c>
      <c r="B27" s="153" t="s">
        <v>211</v>
      </c>
      <c r="C27" s="153" t="s">
        <v>210</v>
      </c>
      <c r="D27" s="153" t="s">
        <v>209</v>
      </c>
      <c r="E27" s="153" t="s">
        <v>213</v>
      </c>
      <c r="F27" s="153" t="s">
        <v>208</v>
      </c>
      <c r="G27" s="153" t="s">
        <v>207</v>
      </c>
      <c r="H27" s="153" t="s">
        <v>211</v>
      </c>
      <c r="I27" s="153" t="s">
        <v>210</v>
      </c>
      <c r="J27" s="153" t="s">
        <v>209</v>
      </c>
      <c r="K27" s="153" t="s">
        <v>213</v>
      </c>
      <c r="L27" s="153" t="s">
        <v>208</v>
      </c>
      <c r="M27" s="153" t="s">
        <v>207</v>
      </c>
    </row>
    <row r="28" spans="1:15" ht="13.5" customHeight="1" x14ac:dyDescent="0.15">
      <c r="A28" s="252"/>
      <c r="B28" s="153" t="s">
        <v>206</v>
      </c>
      <c r="C28" s="153">
        <f>2.86*工程量统计!E13/1000</f>
        <v>5.7421643932223994</v>
      </c>
      <c r="D28" s="153">
        <v>18</v>
      </c>
      <c r="E28" s="153">
        <f>IF(C28/D28&lt;1,ROUNDUP(C28/D28,0),ROUND(C28/D28,0))</f>
        <v>1</v>
      </c>
      <c r="F28" s="153" t="s">
        <v>214</v>
      </c>
      <c r="G28" s="154">
        <v>2.86</v>
      </c>
      <c r="H28" s="153" t="s">
        <v>221</v>
      </c>
      <c r="I28" s="153">
        <f>M28/1000*工程量统计!E14</f>
        <v>18.331602720268005</v>
      </c>
      <c r="J28" s="254">
        <v>18</v>
      </c>
      <c r="K28" s="254">
        <f>IF((I28+I29)/J28&lt;1,ROUNDUP((I28+I29)/J28,0),ROUND((I28+I29)/J28,0))</f>
        <v>2</v>
      </c>
      <c r="L28" s="153" t="s">
        <v>214</v>
      </c>
      <c r="M28" s="153">
        <v>3.4</v>
      </c>
    </row>
    <row r="29" spans="1:15" ht="13.5" customHeight="1" x14ac:dyDescent="0.15">
      <c r="A29" s="252"/>
      <c r="B29" s="153" t="s">
        <v>205</v>
      </c>
      <c r="C29" s="153">
        <f>工程量统计!F13/10*1.59</f>
        <v>12.0204</v>
      </c>
      <c r="D29" s="153">
        <v>35</v>
      </c>
      <c r="E29" s="153">
        <f t="shared" ref="E29:E31" si="9">IF(C29/D29&lt;1,ROUNDUP(C29/D29,0),ROUND(C29/D29,0))</f>
        <v>1</v>
      </c>
      <c r="F29" s="153" t="s">
        <v>215</v>
      </c>
      <c r="G29" s="153">
        <v>1.59</v>
      </c>
      <c r="H29" s="153" t="s">
        <v>203</v>
      </c>
      <c r="I29" s="153">
        <f>M29/1000*工程量统计!E15</f>
        <v>12.605137224698399</v>
      </c>
      <c r="J29" s="254"/>
      <c r="K29" s="254"/>
      <c r="L29" s="153" t="s">
        <v>214</v>
      </c>
      <c r="M29" s="153">
        <v>3.03</v>
      </c>
    </row>
    <row r="30" spans="1:15" ht="13.5" customHeight="1" x14ac:dyDescent="0.15">
      <c r="A30" s="252"/>
      <c r="B30" s="153" t="s">
        <v>204</v>
      </c>
      <c r="C30" s="153">
        <f>G30*工程量统计!G13</f>
        <v>10.206</v>
      </c>
      <c r="D30" s="153">
        <v>25</v>
      </c>
      <c r="E30" s="153">
        <f t="shared" si="9"/>
        <v>1</v>
      </c>
      <c r="F30" s="153" t="s">
        <v>216</v>
      </c>
      <c r="G30" s="154">
        <v>1.08</v>
      </c>
      <c r="H30" s="153" t="s">
        <v>201</v>
      </c>
      <c r="I30" s="153">
        <f>工程量统计!G14*M30</f>
        <v>9.6393000000000004</v>
      </c>
      <c r="J30" s="254">
        <v>25</v>
      </c>
      <c r="K30" s="254">
        <f t="shared" ref="K30" si="10">IF((I30+I31)/J30&lt;1,ROUNDUP((I30+I31)/J30,0),ROUND((I30+I31)/J30,0))</f>
        <v>1</v>
      </c>
      <c r="L30" s="153" t="s">
        <v>216</v>
      </c>
      <c r="M30" s="153">
        <v>0.55000000000000004</v>
      </c>
    </row>
    <row r="31" spans="1:15" ht="13.5" customHeight="1" x14ac:dyDescent="0.15">
      <c r="A31" s="252"/>
      <c r="B31" s="153" t="s">
        <v>202</v>
      </c>
      <c r="C31" s="153">
        <f>G31*工程量统计!F13/10</f>
        <v>5.1408000000000005</v>
      </c>
      <c r="D31" s="153">
        <v>35</v>
      </c>
      <c r="E31" s="153">
        <f t="shared" si="9"/>
        <v>1</v>
      </c>
      <c r="F31" s="153" t="s">
        <v>215</v>
      </c>
      <c r="G31" s="153">
        <v>0.68</v>
      </c>
      <c r="H31" s="153" t="s">
        <v>200</v>
      </c>
      <c r="I31" s="153">
        <f>工程量统计!G15*M31</f>
        <v>21.192191999999995</v>
      </c>
      <c r="J31" s="254"/>
      <c r="K31" s="254"/>
      <c r="L31" s="153" t="s">
        <v>216</v>
      </c>
      <c r="M31" s="153">
        <v>0.56000000000000005</v>
      </c>
    </row>
    <row r="32" spans="1:15" ht="13.5" customHeight="1" x14ac:dyDescent="0.15">
      <c r="A32" s="252"/>
      <c r="B32" s="153" t="s">
        <v>218</v>
      </c>
      <c r="C32" s="153">
        <f>G32/10*工程量统计!F14</f>
        <v>24.342509999999994</v>
      </c>
      <c r="D32" s="254">
        <v>35</v>
      </c>
      <c r="E32" s="254">
        <f>IF((C32+C33)/D32&lt;1,ROUNDUP((C32+C33)/D32,0),ROUND((C32+C33)/D32,0))</f>
        <v>2</v>
      </c>
      <c r="F32" s="153" t="s">
        <v>215</v>
      </c>
      <c r="G32" s="153">
        <v>1.38</v>
      </c>
      <c r="H32" s="153" t="s">
        <v>219</v>
      </c>
      <c r="I32" s="153">
        <f>M32/10*工程量统计!F14</f>
        <v>11.465674999999999</v>
      </c>
      <c r="J32" s="254">
        <v>25</v>
      </c>
      <c r="K32" s="254">
        <f t="shared" ref="K32" si="11">IF((I32+I33)/J32&lt;1,ROUNDUP((I32+I33)/J32,0),ROUND((I32+I33)/J32,0))</f>
        <v>1</v>
      </c>
      <c r="L32" s="153" t="s">
        <v>215</v>
      </c>
      <c r="M32" s="153">
        <v>0.65</v>
      </c>
    </row>
    <row r="33" spans="1:13" ht="13.5" customHeight="1" x14ac:dyDescent="0.15">
      <c r="A33" s="252"/>
      <c r="B33" s="153" t="s">
        <v>199</v>
      </c>
      <c r="C33" s="153">
        <f>G33/10*工程量统计!F15</f>
        <v>34.689599999999999</v>
      </c>
      <c r="D33" s="254"/>
      <c r="E33" s="254"/>
      <c r="F33" s="153" t="s">
        <v>215</v>
      </c>
      <c r="G33" s="153">
        <v>1.1000000000000001</v>
      </c>
      <c r="H33" s="153" t="s">
        <v>198</v>
      </c>
      <c r="I33" s="153">
        <f>M33/10*工程量统计!F15</f>
        <v>14.916527999999996</v>
      </c>
      <c r="J33" s="254"/>
      <c r="K33" s="254"/>
      <c r="L33" s="153" t="s">
        <v>215</v>
      </c>
      <c r="M33" s="153">
        <v>0.47299999999999998</v>
      </c>
    </row>
    <row r="34" spans="1:13" ht="13.5" customHeight="1" x14ac:dyDescent="0.15">
      <c r="A34" s="132"/>
      <c r="B34" s="140"/>
      <c r="C34" s="140"/>
      <c r="D34" s="142"/>
      <c r="E34" s="142"/>
      <c r="F34" s="137"/>
      <c r="G34" s="137"/>
      <c r="H34" s="140"/>
      <c r="I34" s="140"/>
      <c r="J34" s="142"/>
      <c r="K34" s="142"/>
      <c r="L34" s="137"/>
      <c r="M34" s="137"/>
    </row>
    <row r="35" spans="1:13" ht="13.5" customHeight="1" x14ac:dyDescent="0.15">
      <c r="A35" s="132"/>
      <c r="B35" s="140"/>
      <c r="C35" s="140"/>
      <c r="D35" s="142"/>
      <c r="E35" s="142"/>
      <c r="F35" s="137"/>
      <c r="G35" s="137"/>
      <c r="H35" s="140"/>
      <c r="I35" s="140"/>
      <c r="J35" s="142"/>
      <c r="K35" s="142"/>
      <c r="L35" s="137"/>
      <c r="M35" s="137"/>
    </row>
    <row r="36" spans="1:13" ht="13.5" customHeight="1" x14ac:dyDescent="0.15">
      <c r="A36" s="253" t="s">
        <v>243</v>
      </c>
      <c r="B36" s="253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</row>
    <row r="37" spans="1:13" ht="15" customHeight="1" x14ac:dyDescent="0.15">
      <c r="A37" s="252" t="s">
        <v>212</v>
      </c>
      <c r="B37" s="153" t="s">
        <v>211</v>
      </c>
      <c r="C37" s="153" t="s">
        <v>210</v>
      </c>
      <c r="D37" s="153" t="s">
        <v>209</v>
      </c>
      <c r="E37" s="153" t="s">
        <v>213</v>
      </c>
      <c r="F37" s="153" t="s">
        <v>208</v>
      </c>
      <c r="G37" s="153" t="s">
        <v>207</v>
      </c>
      <c r="H37" s="153" t="s">
        <v>211</v>
      </c>
      <c r="I37" s="153" t="s">
        <v>210</v>
      </c>
      <c r="J37" s="153" t="s">
        <v>209</v>
      </c>
      <c r="K37" s="153" t="s">
        <v>213</v>
      </c>
      <c r="L37" s="153" t="s">
        <v>208</v>
      </c>
      <c r="M37" s="153" t="s">
        <v>207</v>
      </c>
    </row>
    <row r="38" spans="1:13" ht="15" customHeight="1" x14ac:dyDescent="0.15">
      <c r="A38" s="252"/>
      <c r="B38" s="153" t="s">
        <v>206</v>
      </c>
      <c r="C38" s="153">
        <f>2.86*工程量统计!E16/1000</f>
        <v>7.5973006467072013</v>
      </c>
      <c r="D38" s="153">
        <v>18</v>
      </c>
      <c r="E38" s="153">
        <f>IF(C38/D38&lt;1,ROUNDUP(C38/D38,0),ROUND(C38/D38,0))</f>
        <v>1</v>
      </c>
      <c r="F38" s="153" t="s">
        <v>214</v>
      </c>
      <c r="G38" s="154">
        <v>2.86</v>
      </c>
      <c r="H38" s="153" t="s">
        <v>221</v>
      </c>
      <c r="I38" s="153">
        <f>M38/1000*工程量统计!E17</f>
        <v>19.533750065898801</v>
      </c>
      <c r="J38" s="254">
        <v>18</v>
      </c>
      <c r="K38" s="254">
        <f>IF((I38+I39)/J38&lt;1,ROUNDUP((I38+I39)/J38,0),ROUND((I38+I39)/J38,0))</f>
        <v>2</v>
      </c>
      <c r="L38" s="153" t="s">
        <v>214</v>
      </c>
      <c r="M38" s="153">
        <v>3.4</v>
      </c>
    </row>
    <row r="39" spans="1:13" ht="15" customHeight="1" x14ac:dyDescent="0.15">
      <c r="A39" s="252"/>
      <c r="B39" s="153" t="s">
        <v>205</v>
      </c>
      <c r="C39" s="153">
        <f>工程量统计!F16/10*1.59</f>
        <v>16.027199999999997</v>
      </c>
      <c r="D39" s="153">
        <v>35</v>
      </c>
      <c r="E39" s="153">
        <f t="shared" ref="E39:E41" si="12">IF(C39/D39&lt;1,ROUNDUP(C39/D39,0),ROUND(C39/D39,0))</f>
        <v>1</v>
      </c>
      <c r="F39" s="153" t="s">
        <v>215</v>
      </c>
      <c r="G39" s="153">
        <v>1.59</v>
      </c>
      <c r="H39" s="153" t="s">
        <v>203</v>
      </c>
      <c r="I39" s="153">
        <f>M39/1000*工程量统计!E18</f>
        <v>13.609900887374399</v>
      </c>
      <c r="J39" s="254"/>
      <c r="K39" s="254"/>
      <c r="L39" s="153" t="s">
        <v>214</v>
      </c>
      <c r="M39" s="153">
        <v>3.03</v>
      </c>
    </row>
    <row r="40" spans="1:13" ht="15" customHeight="1" x14ac:dyDescent="0.15">
      <c r="A40" s="252"/>
      <c r="B40" s="153" t="s">
        <v>204</v>
      </c>
      <c r="C40" s="153">
        <f>G40*工程量统计!G16</f>
        <v>13.607999999999999</v>
      </c>
      <c r="D40" s="153">
        <v>25</v>
      </c>
      <c r="E40" s="153">
        <f t="shared" si="12"/>
        <v>1</v>
      </c>
      <c r="F40" s="153" t="s">
        <v>216</v>
      </c>
      <c r="G40" s="154">
        <v>1.08</v>
      </c>
      <c r="H40" s="153" t="s">
        <v>201</v>
      </c>
      <c r="I40" s="153">
        <f>工程量统计!G14*M40</f>
        <v>9.6393000000000004</v>
      </c>
      <c r="J40" s="254">
        <v>25</v>
      </c>
      <c r="K40" s="254">
        <f t="shared" ref="K40" si="13">IF((I40+I41)/J40&lt;1,ROUNDUP((I40+I41)/J40,0),ROUND((I40+I41)/J40,0))</f>
        <v>1</v>
      </c>
      <c r="L40" s="153" t="s">
        <v>216</v>
      </c>
      <c r="M40" s="153">
        <v>0.55000000000000004</v>
      </c>
    </row>
    <row r="41" spans="1:13" ht="15" customHeight="1" x14ac:dyDescent="0.15">
      <c r="A41" s="252"/>
      <c r="B41" s="153" t="s">
        <v>202</v>
      </c>
      <c r="C41" s="153">
        <f>G41*工程量统计!F16</f>
        <v>68.543999999999997</v>
      </c>
      <c r="D41" s="153">
        <v>35</v>
      </c>
      <c r="E41" s="153">
        <f t="shared" si="12"/>
        <v>2</v>
      </c>
      <c r="F41" s="153" t="s">
        <v>215</v>
      </c>
      <c r="G41" s="153">
        <v>0.68</v>
      </c>
      <c r="H41" s="153" t="s">
        <v>200</v>
      </c>
      <c r="I41" s="153">
        <f>工程量统计!G18*M41</f>
        <v>25.546751999999998</v>
      </c>
      <c r="J41" s="254"/>
      <c r="K41" s="254"/>
      <c r="L41" s="153" t="s">
        <v>216</v>
      </c>
      <c r="M41" s="153">
        <v>0.56000000000000005</v>
      </c>
    </row>
    <row r="42" spans="1:13" ht="15" customHeight="1" x14ac:dyDescent="0.15">
      <c r="A42" s="252"/>
      <c r="B42" s="153" t="s">
        <v>218</v>
      </c>
      <c r="C42" s="153">
        <f>G42/10*工程量统计!F17</f>
        <v>23.970599999999994</v>
      </c>
      <c r="D42" s="254">
        <v>35</v>
      </c>
      <c r="E42" s="255">
        <f>IF((C42+C43)/D42&lt;1,ROUNDUP((C42+C43)/D42,0),ROUND((C42+C43)/D42,0))</f>
        <v>2</v>
      </c>
      <c r="F42" s="153" t="s">
        <v>215</v>
      </c>
      <c r="G42" s="153">
        <v>1.38</v>
      </c>
      <c r="H42" s="153" t="s">
        <v>219</v>
      </c>
      <c r="I42" s="153">
        <f>M42/10*工程量统计!F17</f>
        <v>11.2905</v>
      </c>
      <c r="J42" s="254">
        <v>25</v>
      </c>
      <c r="K42" s="254">
        <f t="shared" ref="K42" si="14">IF((I42+I43)/J42&lt;1,ROUNDUP((I42+I43)/J42,0),ROUND((I42+I43)/J42,0))</f>
        <v>1</v>
      </c>
      <c r="L42" s="153" t="s">
        <v>215</v>
      </c>
      <c r="M42" s="153">
        <v>0.65</v>
      </c>
    </row>
    <row r="43" spans="1:13" ht="15" customHeight="1" x14ac:dyDescent="0.15">
      <c r="A43" s="252"/>
      <c r="B43" s="153" t="s">
        <v>199</v>
      </c>
      <c r="C43" s="153">
        <f>G43/10*工程量统计!F18</f>
        <v>41.817599999999999</v>
      </c>
      <c r="D43" s="254"/>
      <c r="E43" s="256"/>
      <c r="F43" s="153" t="s">
        <v>215</v>
      </c>
      <c r="G43" s="153">
        <v>1.1000000000000001</v>
      </c>
      <c r="H43" s="153" t="s">
        <v>198</v>
      </c>
      <c r="I43" s="153">
        <f>M43/10*工程量统计!F18</f>
        <v>17.981567999999996</v>
      </c>
      <c r="J43" s="254"/>
      <c r="K43" s="254"/>
      <c r="L43" s="153" t="s">
        <v>215</v>
      </c>
      <c r="M43" s="153">
        <v>0.47299999999999998</v>
      </c>
    </row>
    <row r="44" spans="1:13" ht="15" customHeight="1" x14ac:dyDescent="0.15">
      <c r="A44" s="252" t="s">
        <v>220</v>
      </c>
      <c r="B44" s="153" t="s">
        <v>211</v>
      </c>
      <c r="C44" s="153" t="s">
        <v>210</v>
      </c>
      <c r="D44" s="153" t="s">
        <v>209</v>
      </c>
      <c r="E44" s="153" t="s">
        <v>213</v>
      </c>
      <c r="F44" s="153" t="s">
        <v>208</v>
      </c>
      <c r="G44" s="153" t="s">
        <v>207</v>
      </c>
      <c r="H44" s="153" t="s">
        <v>211</v>
      </c>
      <c r="I44" s="153" t="s">
        <v>210</v>
      </c>
      <c r="J44" s="153" t="s">
        <v>209</v>
      </c>
      <c r="K44" s="153" t="s">
        <v>213</v>
      </c>
      <c r="L44" s="153" t="s">
        <v>208</v>
      </c>
      <c r="M44" s="153" t="s">
        <v>207</v>
      </c>
    </row>
    <row r="45" spans="1:13" ht="15" customHeight="1" x14ac:dyDescent="0.15">
      <c r="A45" s="252"/>
      <c r="B45" s="153" t="s">
        <v>206</v>
      </c>
      <c r="C45" s="153">
        <f>2.86*工程量统计!E19/1000</f>
        <v>5.7421643932223994</v>
      </c>
      <c r="D45" s="153">
        <v>18</v>
      </c>
      <c r="E45" s="153">
        <f>IF(C45/D45&lt;1,ROUNDUP(C45/D45,0),ROUND(C45/D45,0))</f>
        <v>1</v>
      </c>
      <c r="F45" s="153" t="s">
        <v>214</v>
      </c>
      <c r="G45" s="154">
        <v>2.86</v>
      </c>
      <c r="H45" s="153" t="s">
        <v>221</v>
      </c>
      <c r="I45" s="153">
        <f>M45/1000*工程量统计!E20</f>
        <v>10.185207943225999</v>
      </c>
      <c r="J45" s="254">
        <v>18</v>
      </c>
      <c r="K45" s="254">
        <f>IF((I45+I46)/J45&lt;1,ROUNDUP((I45+I46)/J45,0),ROUND((I45+I46)/J45,0))</f>
        <v>1</v>
      </c>
      <c r="L45" s="153" t="s">
        <v>214</v>
      </c>
      <c r="M45" s="153">
        <v>3.4</v>
      </c>
    </row>
    <row r="46" spans="1:13" ht="15" customHeight="1" x14ac:dyDescent="0.15">
      <c r="A46" s="252"/>
      <c r="B46" s="153" t="s">
        <v>205</v>
      </c>
      <c r="C46" s="153">
        <f>工程量统计!F16/10*1.59</f>
        <v>16.027199999999997</v>
      </c>
      <c r="D46" s="153">
        <v>35</v>
      </c>
      <c r="E46" s="153">
        <f t="shared" ref="E46:E48" si="15">IF(C46/D46&lt;1,ROUNDUP(C46/D46,0),ROUND(C46/D46,0))</f>
        <v>1</v>
      </c>
      <c r="F46" s="153" t="s">
        <v>215</v>
      </c>
      <c r="G46" s="153">
        <v>1.59</v>
      </c>
      <c r="H46" s="153" t="s">
        <v>203</v>
      </c>
      <c r="I46" s="153">
        <f>M46/1000*工程量统计!E21</f>
        <v>12.8603438104572</v>
      </c>
      <c r="J46" s="254"/>
      <c r="K46" s="254"/>
      <c r="L46" s="153" t="s">
        <v>214</v>
      </c>
      <c r="M46" s="153">
        <v>3.03</v>
      </c>
    </row>
    <row r="47" spans="1:13" ht="15" customHeight="1" x14ac:dyDescent="0.15">
      <c r="A47" s="252"/>
      <c r="B47" s="153" t="s">
        <v>204</v>
      </c>
      <c r="C47" s="153">
        <f>G47*工程量统计!G16</f>
        <v>13.607999999999999</v>
      </c>
      <c r="D47" s="153">
        <v>25</v>
      </c>
      <c r="E47" s="153">
        <f t="shared" si="15"/>
        <v>1</v>
      </c>
      <c r="F47" s="153" t="s">
        <v>216</v>
      </c>
      <c r="G47" s="154">
        <v>1.08</v>
      </c>
      <c r="H47" s="153" t="s">
        <v>201</v>
      </c>
      <c r="I47" s="153">
        <f>工程量统计!G20*M47</f>
        <v>8.5313250000000007</v>
      </c>
      <c r="J47" s="254">
        <v>25</v>
      </c>
      <c r="K47" s="254">
        <f t="shared" ref="K47" si="16">IF((I47+I48)/J47&lt;1,ROUNDUP((I47+I48)/J47,0),ROUND((I47+I48)/J47,0))</f>
        <v>1</v>
      </c>
      <c r="L47" s="153" t="s">
        <v>216</v>
      </c>
      <c r="M47" s="153">
        <v>0.55000000000000004</v>
      </c>
    </row>
    <row r="48" spans="1:13" ht="15" customHeight="1" x14ac:dyDescent="0.15">
      <c r="A48" s="252"/>
      <c r="B48" s="153" t="s">
        <v>202</v>
      </c>
      <c r="C48" s="153">
        <f>G48*工程量统计!F19/10</f>
        <v>5.1408000000000005</v>
      </c>
      <c r="D48" s="153">
        <v>35</v>
      </c>
      <c r="E48" s="153">
        <f t="shared" si="15"/>
        <v>1</v>
      </c>
      <c r="F48" s="153" t="s">
        <v>215</v>
      </c>
      <c r="G48" s="153">
        <v>0.68</v>
      </c>
      <c r="H48" s="153" t="s">
        <v>200</v>
      </c>
      <c r="I48" s="153">
        <f>工程量统计!G21*M48</f>
        <v>23.95008</v>
      </c>
      <c r="J48" s="254"/>
      <c r="K48" s="254"/>
      <c r="L48" s="153" t="s">
        <v>216</v>
      </c>
      <c r="M48" s="153">
        <v>0.56000000000000005</v>
      </c>
    </row>
    <row r="49" spans="1:13" ht="15" customHeight="1" x14ac:dyDescent="0.15">
      <c r="A49" s="252"/>
      <c r="B49" s="153" t="s">
        <v>218</v>
      </c>
      <c r="C49" s="153">
        <f>G49/10*工程量统计!F20</f>
        <v>21.610800000000001</v>
      </c>
      <c r="D49" s="254">
        <v>35</v>
      </c>
      <c r="E49" s="254">
        <f>IF((C49+C50)/D49&lt;1,ROUNDUP((C49+C50)/D49,0),ROUND((C49+C50)/D49,0))</f>
        <v>2</v>
      </c>
      <c r="F49" s="153" t="s">
        <v>215</v>
      </c>
      <c r="G49" s="153">
        <v>1.38</v>
      </c>
      <c r="H49" s="153" t="s">
        <v>219</v>
      </c>
      <c r="I49" s="153">
        <f>M49/10*工程量统计!F20</f>
        <v>10.179000000000002</v>
      </c>
      <c r="J49" s="254">
        <v>25</v>
      </c>
      <c r="K49" s="254">
        <f t="shared" ref="K49" si="17">IF((I49+I50)/J49&lt;1,ROUNDUP((I49+I50)/J49,0),ROUND((I49+I50)/J49,0))</f>
        <v>1</v>
      </c>
      <c r="L49" s="153" t="s">
        <v>215</v>
      </c>
      <c r="M49" s="153">
        <v>0.65</v>
      </c>
    </row>
    <row r="50" spans="1:13" ht="15" customHeight="1" x14ac:dyDescent="0.15">
      <c r="A50" s="252"/>
      <c r="B50" s="153" t="s">
        <v>199</v>
      </c>
      <c r="C50" s="153">
        <f>G50/10*工程量统计!F21</f>
        <v>39.204000000000001</v>
      </c>
      <c r="D50" s="254"/>
      <c r="E50" s="254"/>
      <c r="F50" s="153" t="s">
        <v>215</v>
      </c>
      <c r="G50" s="153">
        <v>1.1000000000000001</v>
      </c>
      <c r="H50" s="153" t="s">
        <v>198</v>
      </c>
      <c r="I50" s="153">
        <f>M50/10*工程量统计!F21</f>
        <v>16.857719999999997</v>
      </c>
      <c r="J50" s="254"/>
      <c r="K50" s="254"/>
      <c r="L50" s="153" t="s">
        <v>215</v>
      </c>
      <c r="M50" s="153">
        <v>0.47299999999999998</v>
      </c>
    </row>
  </sheetData>
  <mergeCells count="57">
    <mergeCell ref="A44:A50"/>
    <mergeCell ref="J45:J46"/>
    <mergeCell ref="K45:K46"/>
    <mergeCell ref="J47:J48"/>
    <mergeCell ref="K47:K48"/>
    <mergeCell ref="D49:D50"/>
    <mergeCell ref="E49:E50"/>
    <mergeCell ref="J49:J50"/>
    <mergeCell ref="K49:K50"/>
    <mergeCell ref="K38:K39"/>
    <mergeCell ref="J40:J41"/>
    <mergeCell ref="K40:K41"/>
    <mergeCell ref="D42:D43"/>
    <mergeCell ref="E42:E43"/>
    <mergeCell ref="J42:J43"/>
    <mergeCell ref="K42:K43"/>
    <mergeCell ref="J28:J29"/>
    <mergeCell ref="K28:K29"/>
    <mergeCell ref="J30:J31"/>
    <mergeCell ref="K30:K31"/>
    <mergeCell ref="D32:D33"/>
    <mergeCell ref="E32:E33"/>
    <mergeCell ref="J32:J33"/>
    <mergeCell ref="K32:K33"/>
    <mergeCell ref="K21:K22"/>
    <mergeCell ref="J23:J24"/>
    <mergeCell ref="D25:D26"/>
    <mergeCell ref="E25:E26"/>
    <mergeCell ref="J25:J26"/>
    <mergeCell ref="K25:K26"/>
    <mergeCell ref="K23:K24"/>
    <mergeCell ref="A2:M2"/>
    <mergeCell ref="J4:J5"/>
    <mergeCell ref="K4:K5"/>
    <mergeCell ref="J6:J7"/>
    <mergeCell ref="J8:J9"/>
    <mergeCell ref="K8:K9"/>
    <mergeCell ref="K6:K7"/>
    <mergeCell ref="A3:A9"/>
    <mergeCell ref="D8:D9"/>
    <mergeCell ref="E8:E9"/>
    <mergeCell ref="A27:A33"/>
    <mergeCell ref="A36:M36"/>
    <mergeCell ref="A37:A43"/>
    <mergeCell ref="J38:J39"/>
    <mergeCell ref="J11:J12"/>
    <mergeCell ref="K11:K12"/>
    <mergeCell ref="J13:J14"/>
    <mergeCell ref="K13:K14"/>
    <mergeCell ref="A10:A16"/>
    <mergeCell ref="D15:D16"/>
    <mergeCell ref="E15:E16"/>
    <mergeCell ref="J15:J16"/>
    <mergeCell ref="K15:K16"/>
    <mergeCell ref="A19:M19"/>
    <mergeCell ref="A20:A26"/>
    <mergeCell ref="J21:J22"/>
  </mergeCells>
  <phoneticPr fontId="1" type="noConversion"/>
  <pageMargins left="0.69930555555555596" right="0.69930555555555596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7"/>
  <sheetViews>
    <sheetView topLeftCell="A4" zoomScaleNormal="100" workbookViewId="0">
      <selection activeCell="M23" sqref="M23"/>
    </sheetView>
  </sheetViews>
  <sheetFormatPr defaultRowHeight="13.5" x14ac:dyDescent="0.15"/>
  <cols>
    <col min="2" max="2" width="13.125" bestFit="1" customWidth="1"/>
    <col min="3" max="3" width="11.625" bestFit="1" customWidth="1"/>
    <col min="4" max="4" width="10.5" bestFit="1" customWidth="1"/>
    <col min="5" max="5" width="11.625" bestFit="1" customWidth="1"/>
    <col min="6" max="6" width="10.5" bestFit="1" customWidth="1"/>
    <col min="8" max="8" width="10.5" bestFit="1" customWidth="1"/>
  </cols>
  <sheetData>
    <row r="1" spans="1:8" x14ac:dyDescent="0.15">
      <c r="B1" s="68"/>
      <c r="C1" s="68"/>
      <c r="D1" s="68"/>
      <c r="E1" s="3"/>
      <c r="F1" s="3"/>
      <c r="G1" s="3"/>
      <c r="H1" s="3"/>
    </row>
    <row r="2" spans="1:8" x14ac:dyDescent="0.15">
      <c r="A2" s="101" t="s">
        <v>247</v>
      </c>
      <c r="B2" s="157" t="s">
        <v>248</v>
      </c>
      <c r="C2" s="143" t="s">
        <v>222</v>
      </c>
      <c r="D2" s="143" t="s">
        <v>223</v>
      </c>
      <c r="E2" s="100" t="s">
        <v>224</v>
      </c>
      <c r="F2" s="144" t="s">
        <v>225</v>
      </c>
      <c r="H2" s="145"/>
    </row>
    <row r="3" spans="1:8" x14ac:dyDescent="0.15">
      <c r="A3" s="203">
        <v>1</v>
      </c>
      <c r="B3" s="104" t="s">
        <v>249</v>
      </c>
      <c r="C3" s="143">
        <f>施工天数计算!E4</f>
        <v>1</v>
      </c>
      <c r="D3" s="143">
        <f>施工天数计算!E11</f>
        <v>1</v>
      </c>
      <c r="E3" s="158"/>
      <c r="F3" s="159"/>
      <c r="H3" s="145"/>
    </row>
    <row r="4" spans="1:8" x14ac:dyDescent="0.15">
      <c r="A4" s="201"/>
      <c r="B4" s="100" t="s">
        <v>226</v>
      </c>
      <c r="C4" s="93">
        <f>施工天数计算!E5</f>
        <v>1</v>
      </c>
      <c r="D4" s="93">
        <f>施工天数计算!E12</f>
        <v>1</v>
      </c>
      <c r="E4" s="110">
        <f>MAX(C3,C3+D3-C4,-D4)+F4</f>
        <v>1</v>
      </c>
      <c r="F4" s="93">
        <v>0</v>
      </c>
      <c r="H4" s="3"/>
    </row>
    <row r="5" spans="1:8" x14ac:dyDescent="0.15">
      <c r="A5" s="201"/>
      <c r="B5" s="100" t="s">
        <v>227</v>
      </c>
      <c r="C5" s="93">
        <f>施工天数计算!E8</f>
        <v>2</v>
      </c>
      <c r="D5" s="93">
        <f>施工天数计算!E15</f>
        <v>2</v>
      </c>
      <c r="E5" s="110">
        <f t="shared" ref="E5:E8" si="0">MAX(C4,C4+D4-C5,-D5)+F5</f>
        <v>1</v>
      </c>
      <c r="F5" s="93">
        <v>0</v>
      </c>
      <c r="H5" s="3"/>
    </row>
    <row r="6" spans="1:8" x14ac:dyDescent="0.15">
      <c r="A6" s="201"/>
      <c r="B6" s="104" t="s">
        <v>250</v>
      </c>
      <c r="C6" s="101">
        <f>施工天数计算!K4</f>
        <v>2</v>
      </c>
      <c r="D6" s="101">
        <f>施工天数计算!K11</f>
        <v>2</v>
      </c>
      <c r="E6" s="110">
        <f t="shared" si="0"/>
        <v>2</v>
      </c>
      <c r="F6" s="101">
        <v>0</v>
      </c>
      <c r="H6" s="3"/>
    </row>
    <row r="7" spans="1:8" x14ac:dyDescent="0.15">
      <c r="A7" s="201"/>
      <c r="B7" s="100" t="s">
        <v>228</v>
      </c>
      <c r="C7" s="93">
        <f>施工天数计算!E6</f>
        <v>1</v>
      </c>
      <c r="D7" s="93">
        <f>施工天数计算!E13</f>
        <v>1</v>
      </c>
      <c r="E7" s="110">
        <f t="shared" si="0"/>
        <v>3</v>
      </c>
      <c r="F7" s="93">
        <v>0</v>
      </c>
      <c r="H7" s="146"/>
    </row>
    <row r="8" spans="1:8" x14ac:dyDescent="0.15">
      <c r="A8" s="201"/>
      <c r="B8" s="100" t="s">
        <v>229</v>
      </c>
      <c r="C8" s="93">
        <f>施工天数计算!K6</f>
        <v>1</v>
      </c>
      <c r="D8" s="93">
        <f>施工天数计算!K13</f>
        <v>1</v>
      </c>
      <c r="E8" s="110">
        <f t="shared" si="0"/>
        <v>1</v>
      </c>
      <c r="F8" s="147">
        <v>0</v>
      </c>
      <c r="G8" s="3"/>
      <c r="H8" s="3"/>
    </row>
    <row r="9" spans="1:8" x14ac:dyDescent="0.15">
      <c r="A9" s="202"/>
      <c r="B9" s="144" t="s">
        <v>230</v>
      </c>
      <c r="C9" s="93">
        <f>施工天数计算!E7+施工天数计算!K8</f>
        <v>2</v>
      </c>
      <c r="D9" s="93">
        <f>施工天数计算!E14+施工天数计算!K15</f>
        <v>2</v>
      </c>
      <c r="E9" s="110">
        <f>MAX(C8,C8+D8-C9,-D9)+F9</f>
        <v>1</v>
      </c>
      <c r="F9" s="147">
        <v>0</v>
      </c>
      <c r="G9" s="3"/>
      <c r="H9" s="3"/>
    </row>
    <row r="10" spans="1:8" x14ac:dyDescent="0.15">
      <c r="A10" s="259" t="s">
        <v>251</v>
      </c>
      <c r="B10" s="161" t="s">
        <v>249</v>
      </c>
      <c r="C10" s="143">
        <f>施工天数计算!E21</f>
        <v>1</v>
      </c>
      <c r="D10" s="143">
        <f>施工天数计算!E28</f>
        <v>1</v>
      </c>
      <c r="E10" s="110">
        <f t="shared" ref="E10:E16" si="1">MAX(C9,C9+D9-C10,-D10)+F10</f>
        <v>3</v>
      </c>
      <c r="F10" s="147">
        <v>0</v>
      </c>
      <c r="G10" s="3"/>
      <c r="H10" s="3"/>
    </row>
    <row r="11" spans="1:8" x14ac:dyDescent="0.15">
      <c r="A11" s="259"/>
      <c r="B11" s="161" t="s">
        <v>226</v>
      </c>
      <c r="C11" s="101">
        <f>施工天数计算!E22</f>
        <v>1</v>
      </c>
      <c r="D11" s="101">
        <f>施工天数计算!E29</f>
        <v>1</v>
      </c>
      <c r="E11" s="110">
        <f t="shared" si="1"/>
        <v>1</v>
      </c>
      <c r="F11" s="147">
        <v>0</v>
      </c>
      <c r="G11" s="3"/>
      <c r="H11" s="3"/>
    </row>
    <row r="12" spans="1:8" x14ac:dyDescent="0.15">
      <c r="A12" s="259"/>
      <c r="B12" s="161" t="s">
        <v>227</v>
      </c>
      <c r="C12" s="101">
        <f>施工天数计算!E25</f>
        <v>2</v>
      </c>
      <c r="D12" s="101">
        <f>施工天数计算!E32</f>
        <v>2</v>
      </c>
      <c r="E12" s="110">
        <f t="shared" si="1"/>
        <v>1</v>
      </c>
      <c r="F12" s="147">
        <v>0</v>
      </c>
      <c r="G12" s="3"/>
      <c r="H12" s="3"/>
    </row>
    <row r="13" spans="1:8" x14ac:dyDescent="0.15">
      <c r="A13" s="259"/>
      <c r="B13" s="161" t="s">
        <v>250</v>
      </c>
      <c r="C13" s="101">
        <f>施工天数计算!K21</f>
        <v>2</v>
      </c>
      <c r="D13" s="101">
        <f>施工天数计算!K28</f>
        <v>2</v>
      </c>
      <c r="E13" s="110">
        <f t="shared" si="1"/>
        <v>2</v>
      </c>
      <c r="F13" s="147">
        <v>0</v>
      </c>
      <c r="G13" s="3"/>
      <c r="H13" s="3"/>
    </row>
    <row r="14" spans="1:8" x14ac:dyDescent="0.15">
      <c r="A14" s="259"/>
      <c r="B14" s="161" t="s">
        <v>228</v>
      </c>
      <c r="C14" s="101">
        <f>施工天数计算!E23</f>
        <v>1</v>
      </c>
      <c r="D14" s="101">
        <f>施工天数计算!E30</f>
        <v>1</v>
      </c>
      <c r="E14" s="110">
        <f t="shared" si="1"/>
        <v>3</v>
      </c>
      <c r="F14" s="147">
        <v>0</v>
      </c>
      <c r="G14" s="3"/>
      <c r="H14" s="3"/>
    </row>
    <row r="15" spans="1:8" x14ac:dyDescent="0.15">
      <c r="A15" s="259"/>
      <c r="B15" s="161" t="s">
        <v>229</v>
      </c>
      <c r="C15" s="101">
        <f>施工天数计算!K23</f>
        <v>1</v>
      </c>
      <c r="D15" s="101">
        <f>施工天数计算!K30</f>
        <v>1</v>
      </c>
      <c r="E15" s="110">
        <f t="shared" si="1"/>
        <v>1</v>
      </c>
      <c r="F15" s="147">
        <v>0</v>
      </c>
      <c r="G15" s="3"/>
      <c r="H15" s="3"/>
    </row>
    <row r="16" spans="1:8" x14ac:dyDescent="0.15">
      <c r="A16" s="259"/>
      <c r="B16" s="162" t="s">
        <v>230</v>
      </c>
      <c r="C16" s="101">
        <f>施工天数计算!E24+施工天数计算!K25</f>
        <v>3</v>
      </c>
      <c r="D16" s="101">
        <f>施工天数计算!E31+施工天数计算!K32</f>
        <v>2</v>
      </c>
      <c r="E16" s="110">
        <f t="shared" si="1"/>
        <v>1</v>
      </c>
      <c r="F16" s="147">
        <v>0</v>
      </c>
      <c r="G16" s="3"/>
      <c r="H16" s="3"/>
    </row>
    <row r="17" spans="1:9" x14ac:dyDescent="0.15">
      <c r="A17" s="259"/>
      <c r="B17" s="165" t="s">
        <v>249</v>
      </c>
      <c r="C17" s="107">
        <f>施工天数计算!E21</f>
        <v>1</v>
      </c>
      <c r="D17" s="107">
        <f>施工天数计算!E28</f>
        <v>1</v>
      </c>
      <c r="E17" s="163">
        <f>MAX(C16,C16+D16-C17,-D17)+F17</f>
        <v>4</v>
      </c>
      <c r="F17" s="164">
        <v>0</v>
      </c>
      <c r="G17" s="3"/>
      <c r="H17" s="3"/>
    </row>
    <row r="18" spans="1:9" x14ac:dyDescent="0.15">
      <c r="A18" s="203">
        <v>5</v>
      </c>
      <c r="B18" s="104" t="s">
        <v>249</v>
      </c>
      <c r="C18" s="143">
        <f>施工天数计算!E38</f>
        <v>1</v>
      </c>
      <c r="D18" s="143">
        <f>施工天数计算!E45</f>
        <v>1</v>
      </c>
      <c r="E18" s="110">
        <f>MAX(C16,C16+D16-C18,-D18)+F18</f>
        <v>4</v>
      </c>
      <c r="F18" s="147">
        <v>0</v>
      </c>
      <c r="G18" s="3"/>
      <c r="H18" s="3"/>
    </row>
    <row r="19" spans="1:9" x14ac:dyDescent="0.15">
      <c r="A19" s="201"/>
      <c r="B19" s="104" t="s">
        <v>226</v>
      </c>
      <c r="C19" s="101">
        <f>施工天数计算!E39</f>
        <v>1</v>
      </c>
      <c r="D19" s="101">
        <f>施工天数计算!E46</f>
        <v>1</v>
      </c>
      <c r="E19" s="110">
        <f t="shared" ref="E19:E24" si="2">MAX(C18,C18+D18-C19,-D19)+F19</f>
        <v>1</v>
      </c>
      <c r="F19" s="147">
        <v>0</v>
      </c>
      <c r="G19" s="3"/>
      <c r="H19" s="3"/>
    </row>
    <row r="20" spans="1:9" x14ac:dyDescent="0.15">
      <c r="A20" s="201"/>
      <c r="B20" s="104" t="s">
        <v>227</v>
      </c>
      <c r="C20" s="101">
        <f>施工天数计算!E42</f>
        <v>2</v>
      </c>
      <c r="D20" s="101">
        <f>施工天数计算!E49</f>
        <v>2</v>
      </c>
      <c r="E20" s="110">
        <f t="shared" si="2"/>
        <v>1</v>
      </c>
      <c r="F20" s="147">
        <v>0</v>
      </c>
      <c r="G20" s="3"/>
      <c r="H20" s="3"/>
    </row>
    <row r="21" spans="1:9" x14ac:dyDescent="0.15">
      <c r="A21" s="201"/>
      <c r="B21" s="104" t="s">
        <v>250</v>
      </c>
      <c r="C21" s="101">
        <f>施工天数计算!K38</f>
        <v>2</v>
      </c>
      <c r="D21" s="101">
        <f>施工天数计算!K45</f>
        <v>1</v>
      </c>
      <c r="E21" s="110">
        <f t="shared" si="2"/>
        <v>2</v>
      </c>
      <c r="F21" s="147">
        <v>0</v>
      </c>
      <c r="G21" s="3"/>
      <c r="H21" s="3"/>
    </row>
    <row r="22" spans="1:9" x14ac:dyDescent="0.15">
      <c r="A22" s="201"/>
      <c r="B22" s="104" t="s">
        <v>228</v>
      </c>
      <c r="C22" s="101">
        <f>施工天数计算!E40</f>
        <v>1</v>
      </c>
      <c r="D22" s="101">
        <f>施工天数计算!E47</f>
        <v>1</v>
      </c>
      <c r="E22" s="110">
        <f t="shared" si="2"/>
        <v>2</v>
      </c>
      <c r="F22" s="147">
        <v>0</v>
      </c>
      <c r="G22" s="3"/>
      <c r="H22" s="3"/>
    </row>
    <row r="23" spans="1:9" x14ac:dyDescent="0.15">
      <c r="A23" s="201"/>
      <c r="B23" s="104" t="s">
        <v>229</v>
      </c>
      <c r="C23" s="101">
        <f>施工天数计算!K40</f>
        <v>1</v>
      </c>
      <c r="D23" s="101">
        <f>施工天数计算!K47</f>
        <v>1</v>
      </c>
      <c r="E23" s="110">
        <f t="shared" si="2"/>
        <v>1</v>
      </c>
      <c r="F23" s="147">
        <v>0</v>
      </c>
      <c r="G23" s="3"/>
      <c r="H23" s="3"/>
    </row>
    <row r="24" spans="1:9" x14ac:dyDescent="0.15">
      <c r="A24" s="202"/>
      <c r="B24" s="144" t="s">
        <v>230</v>
      </c>
      <c r="C24" s="101">
        <f>施工天数计算!E41+施工天数计算!K42</f>
        <v>3</v>
      </c>
      <c r="D24" s="101">
        <f>施工天数计算!E48+施工天数计算!K49</f>
        <v>2</v>
      </c>
      <c r="E24" s="110">
        <f t="shared" si="2"/>
        <v>1</v>
      </c>
      <c r="F24" s="147">
        <v>0</v>
      </c>
      <c r="G24" s="3"/>
      <c r="H24" s="3"/>
    </row>
    <row r="25" spans="1:9" x14ac:dyDescent="0.15">
      <c r="A25" s="102"/>
      <c r="B25" s="148"/>
      <c r="C25" s="102"/>
      <c r="D25" s="102"/>
      <c r="E25" s="160"/>
      <c r="F25" s="149"/>
      <c r="G25" s="3"/>
      <c r="H25" s="3"/>
    </row>
    <row r="26" spans="1:9" x14ac:dyDescent="0.15">
      <c r="A26" s="148"/>
      <c r="B26" s="68"/>
      <c r="C26" s="92"/>
      <c r="D26" s="92"/>
      <c r="E26" s="145"/>
      <c r="F26" s="145"/>
      <c r="G26" s="3"/>
      <c r="H26" s="3"/>
    </row>
    <row r="27" spans="1:9" x14ac:dyDescent="0.15">
      <c r="A27" s="198" t="s">
        <v>231</v>
      </c>
      <c r="B27" s="198"/>
      <c r="C27" s="198"/>
      <c r="D27" s="183" t="s">
        <v>232</v>
      </c>
      <c r="E27" s="258">
        <v>2</v>
      </c>
      <c r="F27" s="258"/>
      <c r="G27" s="3"/>
      <c r="H27" s="103" t="s">
        <v>324</v>
      </c>
      <c r="I27" s="103"/>
    </row>
    <row r="28" spans="1:9" x14ac:dyDescent="0.15">
      <c r="A28" s="177" t="s">
        <v>322</v>
      </c>
      <c r="B28" s="178">
        <f>C30</f>
        <v>43237</v>
      </c>
      <c r="C28" s="178">
        <f>E99</f>
        <v>43309</v>
      </c>
      <c r="D28" s="257">
        <f>C28-B28</f>
        <v>72</v>
      </c>
      <c r="E28" s="257"/>
      <c r="F28" s="257"/>
      <c r="G28" s="3"/>
      <c r="H28" s="177" t="s">
        <v>325</v>
      </c>
      <c r="I28" s="177" t="s">
        <v>323</v>
      </c>
    </row>
    <row r="29" spans="1:9" x14ac:dyDescent="0.15">
      <c r="A29" s="103" t="s">
        <v>233</v>
      </c>
      <c r="B29" s="179" t="s">
        <v>234</v>
      </c>
      <c r="C29" s="179" t="s">
        <v>235</v>
      </c>
      <c r="D29" s="103" t="s">
        <v>236</v>
      </c>
      <c r="E29" s="103" t="s">
        <v>237</v>
      </c>
      <c r="F29" s="177" t="s">
        <v>323</v>
      </c>
      <c r="H29" s="180">
        <f>C30</f>
        <v>43237</v>
      </c>
      <c r="I29" s="101">
        <f>SUMIFS($F$30:$F$99,$C$30:$C$99,"&lt;="&amp;H29,$E$30:$E$99,"&gt;"&amp;H29)</f>
        <v>18</v>
      </c>
    </row>
    <row r="30" spans="1:9" x14ac:dyDescent="0.15">
      <c r="A30" s="209" t="s">
        <v>238</v>
      </c>
      <c r="B30" s="167" t="s">
        <v>253</v>
      </c>
      <c r="C30" s="176">
        <v>43237</v>
      </c>
      <c r="D30" s="104">
        <f>C3</f>
        <v>1</v>
      </c>
      <c r="E30" s="170">
        <f>C30+D30</f>
        <v>43238</v>
      </c>
      <c r="F30" s="101">
        <f>施工天数计算!D4</f>
        <v>18</v>
      </c>
      <c r="H30" s="180">
        <f>H29+1</f>
        <v>43238</v>
      </c>
      <c r="I30" s="101">
        <f t="shared" ref="I30:I93" si="3">SUMIFS($F$30:$F$99,$C$30:$C$99,"&lt;="&amp;H30,$E$30:$E$99,"&gt;"&amp;H30)</f>
        <v>53</v>
      </c>
    </row>
    <row r="31" spans="1:9" x14ac:dyDescent="0.15">
      <c r="A31" s="209"/>
      <c r="B31" s="168" t="s">
        <v>252</v>
      </c>
      <c r="C31" s="173">
        <f>C30+E4</f>
        <v>43238</v>
      </c>
      <c r="D31" s="104">
        <f t="shared" ref="D31:D35" si="4">C4</f>
        <v>1</v>
      </c>
      <c r="E31" s="170">
        <f>C31+D31</f>
        <v>43239</v>
      </c>
      <c r="F31" s="101">
        <f>施工天数计算!D5</f>
        <v>35</v>
      </c>
      <c r="H31" s="180">
        <f t="shared" ref="H31:H94" si="5">H30+1</f>
        <v>43239</v>
      </c>
      <c r="I31" s="101">
        <f t="shared" si="3"/>
        <v>70</v>
      </c>
    </row>
    <row r="32" spans="1:9" x14ac:dyDescent="0.15">
      <c r="A32" s="209"/>
      <c r="B32" s="169" t="s">
        <v>239</v>
      </c>
      <c r="C32" s="173">
        <f>C31+E5</f>
        <v>43239</v>
      </c>
      <c r="D32" s="104">
        <f t="shared" si="4"/>
        <v>2</v>
      </c>
      <c r="E32" s="170">
        <f t="shared" ref="E32:E49" si="6">C32+D32</f>
        <v>43241</v>
      </c>
      <c r="F32" s="101">
        <f>施工天数计算!D8</f>
        <v>35</v>
      </c>
      <c r="H32" s="180">
        <f t="shared" si="5"/>
        <v>43240</v>
      </c>
      <c r="I32" s="101">
        <f t="shared" si="3"/>
        <v>70</v>
      </c>
    </row>
    <row r="33" spans="1:9" x14ac:dyDescent="0.15">
      <c r="A33" s="209"/>
      <c r="B33" s="169" t="s">
        <v>254</v>
      </c>
      <c r="C33" s="173">
        <f>C32+E6</f>
        <v>43241</v>
      </c>
      <c r="D33" s="104">
        <f t="shared" si="4"/>
        <v>2</v>
      </c>
      <c r="E33" s="170">
        <f t="shared" si="6"/>
        <v>43243</v>
      </c>
      <c r="F33" s="101">
        <f>施工天数计算!K4</f>
        <v>2</v>
      </c>
      <c r="H33" s="180">
        <f t="shared" si="5"/>
        <v>43241</v>
      </c>
      <c r="I33" s="101">
        <f t="shared" si="3"/>
        <v>37</v>
      </c>
    </row>
    <row r="34" spans="1:9" x14ac:dyDescent="0.15">
      <c r="A34" s="209"/>
      <c r="B34" s="171" t="s">
        <v>240</v>
      </c>
      <c r="C34" s="173">
        <f>C33+E7</f>
        <v>43244</v>
      </c>
      <c r="D34" s="104">
        <f t="shared" si="4"/>
        <v>1</v>
      </c>
      <c r="E34" s="170">
        <f t="shared" si="6"/>
        <v>43245</v>
      </c>
      <c r="F34" s="101">
        <f>施工天数计算!D6</f>
        <v>25</v>
      </c>
      <c r="H34" s="180">
        <f t="shared" si="5"/>
        <v>43242</v>
      </c>
      <c r="I34" s="101">
        <f t="shared" si="3"/>
        <v>20</v>
      </c>
    </row>
    <row r="35" spans="1:9" x14ac:dyDescent="0.15">
      <c r="A35" s="209"/>
      <c r="B35" s="172" t="s">
        <v>241</v>
      </c>
      <c r="C35" s="173">
        <f>C34+E8</f>
        <v>43245</v>
      </c>
      <c r="D35" s="104">
        <f t="shared" si="4"/>
        <v>1</v>
      </c>
      <c r="E35" s="170">
        <f t="shared" si="6"/>
        <v>43246</v>
      </c>
      <c r="F35" s="101">
        <f>施工天数计算!K6</f>
        <v>1</v>
      </c>
      <c r="H35" s="180">
        <f t="shared" si="5"/>
        <v>43243</v>
      </c>
      <c r="I35" s="101">
        <f t="shared" si="3"/>
        <v>18</v>
      </c>
    </row>
    <row r="36" spans="1:9" x14ac:dyDescent="0.15">
      <c r="A36" s="209"/>
      <c r="B36" s="168" t="s">
        <v>242</v>
      </c>
      <c r="C36" s="173">
        <f>C35+E9+E27</f>
        <v>43248</v>
      </c>
      <c r="D36" s="104">
        <f>C9</f>
        <v>2</v>
      </c>
      <c r="E36" s="170">
        <f>C36+D36</f>
        <v>43250</v>
      </c>
      <c r="F36" s="101">
        <f>施工天数计算!D7+施工天数计算!J8</f>
        <v>60</v>
      </c>
      <c r="H36" s="180">
        <f t="shared" si="5"/>
        <v>43244</v>
      </c>
      <c r="I36" s="101">
        <f t="shared" si="3"/>
        <v>25</v>
      </c>
    </row>
    <row r="37" spans="1:9" x14ac:dyDescent="0.15">
      <c r="A37" s="209"/>
      <c r="B37" s="167" t="s">
        <v>262</v>
      </c>
      <c r="C37" s="173">
        <f>E30</f>
        <v>43238</v>
      </c>
      <c r="D37" s="174">
        <f>D3</f>
        <v>1</v>
      </c>
      <c r="E37" s="173">
        <f t="shared" si="6"/>
        <v>43239</v>
      </c>
      <c r="F37" s="101">
        <f>施工天数计算!D11</f>
        <v>18</v>
      </c>
      <c r="H37" s="180">
        <f t="shared" si="5"/>
        <v>43245</v>
      </c>
      <c r="I37" s="101">
        <f t="shared" si="3"/>
        <v>26</v>
      </c>
    </row>
    <row r="38" spans="1:9" x14ac:dyDescent="0.15">
      <c r="A38" s="209"/>
      <c r="B38" s="168" t="s">
        <v>261</v>
      </c>
      <c r="C38" s="173">
        <f>C37+E4</f>
        <v>43239</v>
      </c>
      <c r="D38" s="174">
        <f t="shared" ref="D38:D42" si="7">D4</f>
        <v>1</v>
      </c>
      <c r="E38" s="173">
        <f t="shared" si="6"/>
        <v>43240</v>
      </c>
      <c r="F38" s="101">
        <f>施工天数计算!D12</f>
        <v>35</v>
      </c>
      <c r="H38" s="180">
        <f t="shared" si="5"/>
        <v>43246</v>
      </c>
      <c r="I38" s="101">
        <f t="shared" si="3"/>
        <v>25</v>
      </c>
    </row>
    <row r="39" spans="1:9" x14ac:dyDescent="0.15">
      <c r="A39" s="209"/>
      <c r="B39" s="169" t="s">
        <v>260</v>
      </c>
      <c r="C39" s="173">
        <f>C38+E5</f>
        <v>43240</v>
      </c>
      <c r="D39" s="174">
        <f t="shared" si="7"/>
        <v>2</v>
      </c>
      <c r="E39" s="173">
        <f t="shared" si="6"/>
        <v>43242</v>
      </c>
      <c r="F39" s="101">
        <f>施工天数计算!D15</f>
        <v>35</v>
      </c>
      <c r="H39" s="180">
        <f t="shared" si="5"/>
        <v>43247</v>
      </c>
      <c r="I39" s="101">
        <f t="shared" si="3"/>
        <v>0</v>
      </c>
    </row>
    <row r="40" spans="1:9" x14ac:dyDescent="0.15">
      <c r="A40" s="209"/>
      <c r="B40" s="169" t="s">
        <v>259</v>
      </c>
      <c r="C40" s="173">
        <f>C39+E6</f>
        <v>43242</v>
      </c>
      <c r="D40" s="174">
        <f t="shared" si="7"/>
        <v>2</v>
      </c>
      <c r="E40" s="173">
        <f t="shared" si="6"/>
        <v>43244</v>
      </c>
      <c r="F40" s="101">
        <f>施工天数计算!J11</f>
        <v>18</v>
      </c>
      <c r="H40" s="180">
        <f t="shared" si="5"/>
        <v>43248</v>
      </c>
      <c r="I40" s="101">
        <f t="shared" si="3"/>
        <v>60</v>
      </c>
    </row>
    <row r="41" spans="1:9" x14ac:dyDescent="0.15">
      <c r="A41" s="209"/>
      <c r="B41" s="171" t="s">
        <v>258</v>
      </c>
      <c r="C41" s="173">
        <f>C40+E7</f>
        <v>43245</v>
      </c>
      <c r="D41" s="174">
        <f t="shared" si="7"/>
        <v>1</v>
      </c>
      <c r="E41" s="173">
        <f t="shared" si="6"/>
        <v>43246</v>
      </c>
      <c r="F41" s="101">
        <f>施工天数计算!D13</f>
        <v>25</v>
      </c>
      <c r="H41" s="180">
        <f t="shared" si="5"/>
        <v>43249</v>
      </c>
      <c r="I41" s="101">
        <f t="shared" si="3"/>
        <v>120</v>
      </c>
    </row>
    <row r="42" spans="1:9" x14ac:dyDescent="0.15">
      <c r="A42" s="209"/>
      <c r="B42" s="172" t="s">
        <v>257</v>
      </c>
      <c r="C42" s="173">
        <f>C41+E8</f>
        <v>43246</v>
      </c>
      <c r="D42" s="174">
        <f t="shared" si="7"/>
        <v>1</v>
      </c>
      <c r="E42" s="173">
        <f t="shared" si="6"/>
        <v>43247</v>
      </c>
      <c r="F42" s="101">
        <f>施工天数计算!J13</f>
        <v>25</v>
      </c>
      <c r="H42" s="180">
        <f t="shared" si="5"/>
        <v>43250</v>
      </c>
      <c r="I42" s="101">
        <f t="shared" si="3"/>
        <v>60</v>
      </c>
    </row>
    <row r="43" spans="1:9" x14ac:dyDescent="0.15">
      <c r="A43" s="209"/>
      <c r="B43" s="168" t="s">
        <v>256</v>
      </c>
      <c r="C43" s="173">
        <f>C42+E9+E27</f>
        <v>43249</v>
      </c>
      <c r="D43" s="174">
        <f>D9</f>
        <v>2</v>
      </c>
      <c r="E43" s="173">
        <f t="shared" si="6"/>
        <v>43251</v>
      </c>
      <c r="F43" s="101">
        <f>施工天数计算!D14+施工天数计算!J15</f>
        <v>60</v>
      </c>
      <c r="H43" s="180">
        <f t="shared" si="5"/>
        <v>43251</v>
      </c>
      <c r="I43" s="101">
        <f t="shared" si="3"/>
        <v>18</v>
      </c>
    </row>
    <row r="44" spans="1:9" x14ac:dyDescent="0.15">
      <c r="A44" s="209" t="s">
        <v>263</v>
      </c>
      <c r="B44" s="167" t="s">
        <v>265</v>
      </c>
      <c r="C44" s="175">
        <f>C36+E10</f>
        <v>43251</v>
      </c>
      <c r="D44" s="144">
        <f t="shared" ref="D44:D50" si="8">C10</f>
        <v>1</v>
      </c>
      <c r="E44" s="175">
        <f t="shared" si="6"/>
        <v>43252</v>
      </c>
      <c r="F44" s="101">
        <f>施工天数计算!$D$21</f>
        <v>18</v>
      </c>
      <c r="H44" s="180">
        <f t="shared" si="5"/>
        <v>43252</v>
      </c>
      <c r="I44" s="101">
        <f t="shared" si="3"/>
        <v>53</v>
      </c>
    </row>
    <row r="45" spans="1:9" x14ac:dyDescent="0.15">
      <c r="A45" s="209"/>
      <c r="B45" s="168" t="s">
        <v>266</v>
      </c>
      <c r="C45" s="173">
        <f>C44+E11</f>
        <v>43252</v>
      </c>
      <c r="D45" s="144">
        <f t="shared" si="8"/>
        <v>1</v>
      </c>
      <c r="E45" s="175">
        <f t="shared" si="6"/>
        <v>43253</v>
      </c>
      <c r="F45" s="101">
        <f>施工天数计算!$D$22</f>
        <v>35</v>
      </c>
      <c r="H45" s="180">
        <f t="shared" si="5"/>
        <v>43253</v>
      </c>
      <c r="I45" s="101">
        <f t="shared" si="3"/>
        <v>70</v>
      </c>
    </row>
    <row r="46" spans="1:9" x14ac:dyDescent="0.15">
      <c r="A46" s="209"/>
      <c r="B46" s="169" t="s">
        <v>267</v>
      </c>
      <c r="C46" s="173">
        <f>C45+E12</f>
        <v>43253</v>
      </c>
      <c r="D46" s="144">
        <f t="shared" si="8"/>
        <v>2</v>
      </c>
      <c r="E46" s="175">
        <f t="shared" si="6"/>
        <v>43255</v>
      </c>
      <c r="F46" s="101">
        <f>施工天数计算!$D$25</f>
        <v>35</v>
      </c>
      <c r="H46" s="180">
        <f t="shared" si="5"/>
        <v>43254</v>
      </c>
      <c r="I46" s="101">
        <f t="shared" si="3"/>
        <v>70</v>
      </c>
    </row>
    <row r="47" spans="1:9" x14ac:dyDescent="0.15">
      <c r="A47" s="209"/>
      <c r="B47" s="169" t="s">
        <v>268</v>
      </c>
      <c r="C47" s="173">
        <f>C46+E13</f>
        <v>43255</v>
      </c>
      <c r="D47" s="144">
        <f t="shared" si="8"/>
        <v>2</v>
      </c>
      <c r="E47" s="175">
        <f t="shared" si="6"/>
        <v>43257</v>
      </c>
      <c r="F47" s="101">
        <f>施工天数计算!$J$21</f>
        <v>18</v>
      </c>
      <c r="H47" s="180">
        <f t="shared" si="5"/>
        <v>43255</v>
      </c>
      <c r="I47" s="101">
        <f t="shared" si="3"/>
        <v>53</v>
      </c>
    </row>
    <row r="48" spans="1:9" x14ac:dyDescent="0.15">
      <c r="A48" s="209"/>
      <c r="B48" s="171" t="s">
        <v>269</v>
      </c>
      <c r="C48" s="173">
        <f>C47+E14</f>
        <v>43258</v>
      </c>
      <c r="D48" s="144">
        <f t="shared" si="8"/>
        <v>1</v>
      </c>
      <c r="E48" s="175">
        <f t="shared" si="6"/>
        <v>43259</v>
      </c>
      <c r="F48" s="101">
        <f>施工天数计算!$D$23</f>
        <v>25</v>
      </c>
      <c r="H48" s="180">
        <f t="shared" si="5"/>
        <v>43256</v>
      </c>
      <c r="I48" s="101">
        <f t="shared" si="3"/>
        <v>36</v>
      </c>
    </row>
    <row r="49" spans="1:9" x14ac:dyDescent="0.15">
      <c r="A49" s="209"/>
      <c r="B49" s="172" t="s">
        <v>270</v>
      </c>
      <c r="C49" s="173">
        <f>C48+E15</f>
        <v>43259</v>
      </c>
      <c r="D49" s="144">
        <f t="shared" si="8"/>
        <v>1</v>
      </c>
      <c r="E49" s="175">
        <f t="shared" si="6"/>
        <v>43260</v>
      </c>
      <c r="F49" s="101">
        <f>施工天数计算!$J$23</f>
        <v>25</v>
      </c>
      <c r="H49" s="180">
        <f t="shared" si="5"/>
        <v>43257</v>
      </c>
      <c r="I49" s="101">
        <f t="shared" si="3"/>
        <v>18</v>
      </c>
    </row>
    <row r="50" spans="1:9" x14ac:dyDescent="0.15">
      <c r="A50" s="209"/>
      <c r="B50" s="168" t="s">
        <v>271</v>
      </c>
      <c r="C50" s="173">
        <f>C49+E16+E27</f>
        <v>43262</v>
      </c>
      <c r="D50" s="144">
        <f t="shared" si="8"/>
        <v>3</v>
      </c>
      <c r="E50" s="175">
        <f>C50+D50</f>
        <v>43265</v>
      </c>
      <c r="F50" s="101">
        <f>施工天数计算!$D$24+施工天数计算!$J$25</f>
        <v>60</v>
      </c>
      <c r="H50" s="180">
        <f t="shared" si="5"/>
        <v>43258</v>
      </c>
      <c r="I50" s="101">
        <f t="shared" si="3"/>
        <v>25</v>
      </c>
    </row>
    <row r="51" spans="1:9" x14ac:dyDescent="0.15">
      <c r="A51" s="209"/>
      <c r="B51" s="167" t="s">
        <v>272</v>
      </c>
      <c r="C51" s="173">
        <f>E44</f>
        <v>43252</v>
      </c>
      <c r="D51" s="174">
        <f t="shared" ref="D51:D57" si="9">D10</f>
        <v>1</v>
      </c>
      <c r="E51" s="173">
        <f>C51+D51</f>
        <v>43253</v>
      </c>
      <c r="F51" s="101">
        <f>施工天数计算!$D$28</f>
        <v>18</v>
      </c>
      <c r="H51" s="180">
        <f t="shared" si="5"/>
        <v>43259</v>
      </c>
      <c r="I51" s="101">
        <f t="shared" si="3"/>
        <v>50</v>
      </c>
    </row>
    <row r="52" spans="1:9" x14ac:dyDescent="0.15">
      <c r="A52" s="209"/>
      <c r="B52" s="168" t="s">
        <v>255</v>
      </c>
      <c r="C52" s="173">
        <f>C51+E11</f>
        <v>43253</v>
      </c>
      <c r="D52" s="174">
        <f t="shared" si="9"/>
        <v>1</v>
      </c>
      <c r="E52" s="173">
        <f>C52+D52</f>
        <v>43254</v>
      </c>
      <c r="F52" s="101">
        <f>施工天数计算!$D$29</f>
        <v>35</v>
      </c>
      <c r="H52" s="180">
        <f t="shared" si="5"/>
        <v>43260</v>
      </c>
      <c r="I52" s="101">
        <f t="shared" si="3"/>
        <v>25</v>
      </c>
    </row>
    <row r="53" spans="1:9" x14ac:dyDescent="0.15">
      <c r="A53" s="209"/>
      <c r="B53" s="169" t="s">
        <v>273</v>
      </c>
      <c r="C53" s="173">
        <f>C52+E12</f>
        <v>43254</v>
      </c>
      <c r="D53" s="174">
        <f t="shared" si="9"/>
        <v>2</v>
      </c>
      <c r="E53" s="173">
        <f t="shared" ref="E53:E99" si="10">C53+D53</f>
        <v>43256</v>
      </c>
      <c r="F53" s="101">
        <f>施工天数计算!$D$32</f>
        <v>35</v>
      </c>
      <c r="H53" s="180">
        <f t="shared" si="5"/>
        <v>43261</v>
      </c>
      <c r="I53" s="101">
        <f t="shared" si="3"/>
        <v>0</v>
      </c>
    </row>
    <row r="54" spans="1:9" x14ac:dyDescent="0.15">
      <c r="A54" s="209"/>
      <c r="B54" s="169" t="s">
        <v>274</v>
      </c>
      <c r="C54" s="173">
        <f>C53+E13</f>
        <v>43256</v>
      </c>
      <c r="D54" s="174">
        <f t="shared" si="9"/>
        <v>2</v>
      </c>
      <c r="E54" s="173">
        <f t="shared" si="10"/>
        <v>43258</v>
      </c>
      <c r="F54" s="101">
        <f>施工天数计算!$J$28</f>
        <v>18</v>
      </c>
      <c r="H54" s="180">
        <f t="shared" si="5"/>
        <v>43262</v>
      </c>
      <c r="I54" s="101">
        <f t="shared" si="3"/>
        <v>60</v>
      </c>
    </row>
    <row r="55" spans="1:9" x14ac:dyDescent="0.15">
      <c r="A55" s="209"/>
      <c r="B55" s="171" t="s">
        <v>275</v>
      </c>
      <c r="C55" s="173">
        <f>C54+E14</f>
        <v>43259</v>
      </c>
      <c r="D55" s="174">
        <f t="shared" si="9"/>
        <v>1</v>
      </c>
      <c r="E55" s="173">
        <f t="shared" si="10"/>
        <v>43260</v>
      </c>
      <c r="F55" s="101">
        <f>施工天数计算!$D$30</f>
        <v>25</v>
      </c>
      <c r="H55" s="180">
        <f t="shared" si="5"/>
        <v>43263</v>
      </c>
      <c r="I55" s="101">
        <f t="shared" si="3"/>
        <v>120</v>
      </c>
    </row>
    <row r="56" spans="1:9" x14ac:dyDescent="0.15">
      <c r="A56" s="209"/>
      <c r="B56" s="172" t="s">
        <v>276</v>
      </c>
      <c r="C56" s="173">
        <f>C55+E15</f>
        <v>43260</v>
      </c>
      <c r="D56" s="174">
        <f t="shared" si="9"/>
        <v>1</v>
      </c>
      <c r="E56" s="173">
        <f t="shared" si="10"/>
        <v>43261</v>
      </c>
      <c r="F56" s="101">
        <f>施工天数计算!$J$30</f>
        <v>25</v>
      </c>
      <c r="H56" s="180">
        <f t="shared" si="5"/>
        <v>43264</v>
      </c>
      <c r="I56" s="101">
        <f t="shared" si="3"/>
        <v>120</v>
      </c>
    </row>
    <row r="57" spans="1:9" x14ac:dyDescent="0.15">
      <c r="A57" s="209"/>
      <c r="B57" s="168" t="s">
        <v>277</v>
      </c>
      <c r="C57" s="173">
        <f>C56+E16+E27</f>
        <v>43263</v>
      </c>
      <c r="D57" s="174">
        <f t="shared" si="9"/>
        <v>2</v>
      </c>
      <c r="E57" s="173">
        <f t="shared" si="10"/>
        <v>43265</v>
      </c>
      <c r="F57" s="101">
        <f>施工天数计算!$D$31+施工天数计算!$J$32</f>
        <v>60</v>
      </c>
      <c r="H57" s="180">
        <f t="shared" si="5"/>
        <v>43265</v>
      </c>
      <c r="I57" s="101">
        <f t="shared" si="3"/>
        <v>0</v>
      </c>
    </row>
    <row r="58" spans="1:9" x14ac:dyDescent="0.15">
      <c r="A58" s="209" t="s">
        <v>264</v>
      </c>
      <c r="B58" s="167" t="s">
        <v>278</v>
      </c>
      <c r="C58" s="175">
        <f>C50+E17</f>
        <v>43266</v>
      </c>
      <c r="D58" s="144">
        <f>C10</f>
        <v>1</v>
      </c>
      <c r="E58" s="175">
        <f t="shared" si="10"/>
        <v>43267</v>
      </c>
      <c r="F58" s="101">
        <f>施工天数计算!$D$21</f>
        <v>18</v>
      </c>
      <c r="H58" s="180">
        <f t="shared" si="5"/>
        <v>43266</v>
      </c>
      <c r="I58" s="101">
        <f t="shared" si="3"/>
        <v>18</v>
      </c>
    </row>
    <row r="59" spans="1:9" x14ac:dyDescent="0.15">
      <c r="A59" s="209"/>
      <c r="B59" s="168" t="s">
        <v>279</v>
      </c>
      <c r="C59" s="173">
        <f>C58+E11</f>
        <v>43267</v>
      </c>
      <c r="D59" s="144">
        <f t="shared" ref="D59:D63" si="11">C11</f>
        <v>1</v>
      </c>
      <c r="E59" s="175">
        <f t="shared" si="10"/>
        <v>43268</v>
      </c>
      <c r="F59" s="101">
        <f>施工天数计算!$D$22</f>
        <v>35</v>
      </c>
      <c r="H59" s="180">
        <f t="shared" si="5"/>
        <v>43267</v>
      </c>
      <c r="I59" s="101">
        <f t="shared" si="3"/>
        <v>53</v>
      </c>
    </row>
    <row r="60" spans="1:9" x14ac:dyDescent="0.15">
      <c r="A60" s="209"/>
      <c r="B60" s="169" t="s">
        <v>280</v>
      </c>
      <c r="C60" s="173">
        <f>C59+E12</f>
        <v>43268</v>
      </c>
      <c r="D60" s="144">
        <f t="shared" si="11"/>
        <v>2</v>
      </c>
      <c r="E60" s="175">
        <f t="shared" si="10"/>
        <v>43270</v>
      </c>
      <c r="F60" s="101">
        <f>施工天数计算!$D$25</f>
        <v>35</v>
      </c>
      <c r="H60" s="180">
        <f t="shared" si="5"/>
        <v>43268</v>
      </c>
      <c r="I60" s="101">
        <f t="shared" si="3"/>
        <v>70</v>
      </c>
    </row>
    <row r="61" spans="1:9" x14ac:dyDescent="0.15">
      <c r="A61" s="209"/>
      <c r="B61" s="169" t="s">
        <v>281</v>
      </c>
      <c r="C61" s="173">
        <f>C60+E13</f>
        <v>43270</v>
      </c>
      <c r="D61" s="144">
        <f t="shared" si="11"/>
        <v>2</v>
      </c>
      <c r="E61" s="175">
        <f t="shared" si="10"/>
        <v>43272</v>
      </c>
      <c r="F61" s="101">
        <f>施工天数计算!$J$21</f>
        <v>18</v>
      </c>
      <c r="H61" s="180">
        <f t="shared" si="5"/>
        <v>43269</v>
      </c>
      <c r="I61" s="101">
        <f t="shared" si="3"/>
        <v>70</v>
      </c>
    </row>
    <row r="62" spans="1:9" x14ac:dyDescent="0.15">
      <c r="A62" s="209"/>
      <c r="B62" s="171" t="s">
        <v>282</v>
      </c>
      <c r="C62" s="173">
        <f>C61+E14</f>
        <v>43273</v>
      </c>
      <c r="D62" s="144">
        <f t="shared" si="11"/>
        <v>1</v>
      </c>
      <c r="E62" s="175">
        <f t="shared" si="10"/>
        <v>43274</v>
      </c>
      <c r="F62" s="101">
        <f>施工天数计算!$D$23</f>
        <v>25</v>
      </c>
      <c r="H62" s="180">
        <f t="shared" si="5"/>
        <v>43270</v>
      </c>
      <c r="I62" s="101">
        <f t="shared" si="3"/>
        <v>53</v>
      </c>
    </row>
    <row r="63" spans="1:9" x14ac:dyDescent="0.15">
      <c r="A63" s="209"/>
      <c r="B63" s="172" t="s">
        <v>283</v>
      </c>
      <c r="C63" s="173">
        <f>C62+E15</f>
        <v>43274</v>
      </c>
      <c r="D63" s="144">
        <f t="shared" si="11"/>
        <v>1</v>
      </c>
      <c r="E63" s="175">
        <f t="shared" si="10"/>
        <v>43275</v>
      </c>
      <c r="F63" s="101">
        <f>施工天数计算!$J$23</f>
        <v>25</v>
      </c>
      <c r="H63" s="180">
        <f t="shared" si="5"/>
        <v>43271</v>
      </c>
      <c r="I63" s="101">
        <f t="shared" si="3"/>
        <v>36</v>
      </c>
    </row>
    <row r="64" spans="1:9" x14ac:dyDescent="0.15">
      <c r="A64" s="209"/>
      <c r="B64" s="168" t="s">
        <v>284</v>
      </c>
      <c r="C64" s="173">
        <f>C63+E16+E27</f>
        <v>43277</v>
      </c>
      <c r="D64" s="144">
        <f>C16</f>
        <v>3</v>
      </c>
      <c r="E64" s="175">
        <f>C64+D64</f>
        <v>43280</v>
      </c>
      <c r="F64" s="101">
        <f>施工天数计算!$D$24+施工天数计算!$J$25</f>
        <v>60</v>
      </c>
      <c r="H64" s="180">
        <f t="shared" si="5"/>
        <v>43272</v>
      </c>
      <c r="I64" s="101">
        <f t="shared" si="3"/>
        <v>18</v>
      </c>
    </row>
    <row r="65" spans="1:9" x14ac:dyDescent="0.15">
      <c r="A65" s="209"/>
      <c r="B65" s="167" t="s">
        <v>285</v>
      </c>
      <c r="C65" s="173">
        <f>E58</f>
        <v>43267</v>
      </c>
      <c r="D65" s="174">
        <f>D10</f>
        <v>1</v>
      </c>
      <c r="E65" s="173">
        <f t="shared" si="10"/>
        <v>43268</v>
      </c>
      <c r="F65" s="101">
        <f>施工天数计算!$D$28</f>
        <v>18</v>
      </c>
      <c r="H65" s="180">
        <f t="shared" si="5"/>
        <v>43273</v>
      </c>
      <c r="I65" s="101">
        <f t="shared" si="3"/>
        <v>25</v>
      </c>
    </row>
    <row r="66" spans="1:9" x14ac:dyDescent="0.15">
      <c r="A66" s="209"/>
      <c r="B66" s="168" t="s">
        <v>286</v>
      </c>
      <c r="C66" s="173">
        <f>C65+E11</f>
        <v>43268</v>
      </c>
      <c r="D66" s="174">
        <f t="shared" ref="D66:D70" si="12">D11</f>
        <v>1</v>
      </c>
      <c r="E66" s="173">
        <f t="shared" si="10"/>
        <v>43269</v>
      </c>
      <c r="F66" s="101">
        <f>施工天数计算!$D$29</f>
        <v>35</v>
      </c>
      <c r="H66" s="180">
        <f t="shared" si="5"/>
        <v>43274</v>
      </c>
      <c r="I66" s="101">
        <f t="shared" si="3"/>
        <v>50</v>
      </c>
    </row>
    <row r="67" spans="1:9" x14ac:dyDescent="0.15">
      <c r="A67" s="209"/>
      <c r="B67" s="169" t="s">
        <v>287</v>
      </c>
      <c r="C67" s="173">
        <f>C66+E12</f>
        <v>43269</v>
      </c>
      <c r="D67" s="174">
        <f t="shared" si="12"/>
        <v>2</v>
      </c>
      <c r="E67" s="173">
        <f t="shared" si="10"/>
        <v>43271</v>
      </c>
      <c r="F67" s="101">
        <f>施工天数计算!$D$32</f>
        <v>35</v>
      </c>
      <c r="H67" s="180">
        <f t="shared" si="5"/>
        <v>43275</v>
      </c>
      <c r="I67" s="101">
        <f t="shared" si="3"/>
        <v>25</v>
      </c>
    </row>
    <row r="68" spans="1:9" x14ac:dyDescent="0.15">
      <c r="A68" s="209"/>
      <c r="B68" s="169" t="s">
        <v>288</v>
      </c>
      <c r="C68" s="173">
        <f>C67+E13</f>
        <v>43271</v>
      </c>
      <c r="D68" s="174">
        <f t="shared" si="12"/>
        <v>2</v>
      </c>
      <c r="E68" s="173">
        <f t="shared" si="10"/>
        <v>43273</v>
      </c>
      <c r="F68" s="101">
        <f>施工天数计算!$J$28</f>
        <v>18</v>
      </c>
      <c r="H68" s="180">
        <f t="shared" si="5"/>
        <v>43276</v>
      </c>
      <c r="I68" s="101">
        <f t="shared" si="3"/>
        <v>0</v>
      </c>
    </row>
    <row r="69" spans="1:9" x14ac:dyDescent="0.15">
      <c r="A69" s="209"/>
      <c r="B69" s="171" t="s">
        <v>289</v>
      </c>
      <c r="C69" s="173">
        <f>C68+E14</f>
        <v>43274</v>
      </c>
      <c r="D69" s="174">
        <f t="shared" si="12"/>
        <v>1</v>
      </c>
      <c r="E69" s="173">
        <f t="shared" si="10"/>
        <v>43275</v>
      </c>
      <c r="F69" s="101">
        <f>施工天数计算!$D$30</f>
        <v>25</v>
      </c>
      <c r="H69" s="180">
        <f t="shared" si="5"/>
        <v>43277</v>
      </c>
      <c r="I69" s="101">
        <f t="shared" si="3"/>
        <v>60</v>
      </c>
    </row>
    <row r="70" spans="1:9" x14ac:dyDescent="0.15">
      <c r="A70" s="209"/>
      <c r="B70" s="172" t="s">
        <v>290</v>
      </c>
      <c r="C70" s="173">
        <f>C69+E15</f>
        <v>43275</v>
      </c>
      <c r="D70" s="174">
        <f t="shared" si="12"/>
        <v>1</v>
      </c>
      <c r="E70" s="173">
        <f t="shared" si="10"/>
        <v>43276</v>
      </c>
      <c r="F70" s="101">
        <f>施工天数计算!$J$30</f>
        <v>25</v>
      </c>
      <c r="H70" s="180">
        <f t="shared" si="5"/>
        <v>43278</v>
      </c>
      <c r="I70" s="101">
        <f t="shared" si="3"/>
        <v>120</v>
      </c>
    </row>
    <row r="71" spans="1:9" x14ac:dyDescent="0.15">
      <c r="A71" s="209"/>
      <c r="B71" s="168" t="s">
        <v>291</v>
      </c>
      <c r="C71" s="173">
        <f>C70+E16+E27</f>
        <v>43278</v>
      </c>
      <c r="D71" s="174">
        <f>D16</f>
        <v>2</v>
      </c>
      <c r="E71" s="173">
        <f t="shared" si="10"/>
        <v>43280</v>
      </c>
      <c r="F71" s="101">
        <f>施工天数计算!$D$31+施工天数计算!$J$32</f>
        <v>60</v>
      </c>
      <c r="H71" s="180">
        <f t="shared" si="5"/>
        <v>43279</v>
      </c>
      <c r="I71" s="101">
        <f t="shared" si="3"/>
        <v>120</v>
      </c>
    </row>
    <row r="72" spans="1:9" x14ac:dyDescent="0.15">
      <c r="A72" s="209" t="s">
        <v>292</v>
      </c>
      <c r="B72" s="167" t="s">
        <v>293</v>
      </c>
      <c r="C72" s="175">
        <f>C64+E17</f>
        <v>43281</v>
      </c>
      <c r="D72" s="144">
        <f>C10</f>
        <v>1</v>
      </c>
      <c r="E72" s="175">
        <f t="shared" si="10"/>
        <v>43282</v>
      </c>
      <c r="F72" s="101">
        <f>施工天数计算!$D$21</f>
        <v>18</v>
      </c>
      <c r="H72" s="180">
        <f t="shared" si="5"/>
        <v>43280</v>
      </c>
      <c r="I72" s="101">
        <f t="shared" si="3"/>
        <v>0</v>
      </c>
    </row>
    <row r="73" spans="1:9" x14ac:dyDescent="0.15">
      <c r="A73" s="209"/>
      <c r="B73" s="168" t="s">
        <v>294</v>
      </c>
      <c r="C73" s="173">
        <f>C72+E11</f>
        <v>43282</v>
      </c>
      <c r="D73" s="144">
        <f t="shared" ref="D73:D78" si="13">C11</f>
        <v>1</v>
      </c>
      <c r="E73" s="175">
        <f t="shared" si="10"/>
        <v>43283</v>
      </c>
      <c r="F73" s="101">
        <f>施工天数计算!$D$22</f>
        <v>35</v>
      </c>
      <c r="H73" s="180">
        <f t="shared" si="5"/>
        <v>43281</v>
      </c>
      <c r="I73" s="101">
        <f t="shared" si="3"/>
        <v>18</v>
      </c>
    </row>
    <row r="74" spans="1:9" x14ac:dyDescent="0.15">
      <c r="A74" s="209"/>
      <c r="B74" s="169" t="s">
        <v>295</v>
      </c>
      <c r="C74" s="173">
        <f>C73+E12</f>
        <v>43283</v>
      </c>
      <c r="D74" s="144">
        <f t="shared" si="13"/>
        <v>2</v>
      </c>
      <c r="E74" s="175">
        <f t="shared" si="10"/>
        <v>43285</v>
      </c>
      <c r="F74" s="101">
        <f>施工天数计算!$D$25</f>
        <v>35</v>
      </c>
      <c r="H74" s="180">
        <f t="shared" si="5"/>
        <v>43282</v>
      </c>
      <c r="I74" s="101">
        <f t="shared" si="3"/>
        <v>53</v>
      </c>
    </row>
    <row r="75" spans="1:9" x14ac:dyDescent="0.15">
      <c r="A75" s="209"/>
      <c r="B75" s="169" t="s">
        <v>296</v>
      </c>
      <c r="C75" s="173">
        <f>C74+E13</f>
        <v>43285</v>
      </c>
      <c r="D75" s="144">
        <f t="shared" si="13"/>
        <v>2</v>
      </c>
      <c r="E75" s="175">
        <f t="shared" si="10"/>
        <v>43287</v>
      </c>
      <c r="F75" s="101">
        <f>施工天数计算!$J$21</f>
        <v>18</v>
      </c>
      <c r="H75" s="180">
        <f t="shared" si="5"/>
        <v>43283</v>
      </c>
      <c r="I75" s="101">
        <f t="shared" si="3"/>
        <v>70</v>
      </c>
    </row>
    <row r="76" spans="1:9" x14ac:dyDescent="0.15">
      <c r="A76" s="209"/>
      <c r="B76" s="171" t="s">
        <v>297</v>
      </c>
      <c r="C76" s="173">
        <f>C75+E14</f>
        <v>43288</v>
      </c>
      <c r="D76" s="144">
        <f t="shared" si="13"/>
        <v>1</v>
      </c>
      <c r="E76" s="175">
        <f t="shared" si="10"/>
        <v>43289</v>
      </c>
      <c r="F76" s="101">
        <f>施工天数计算!$D$23</f>
        <v>25</v>
      </c>
      <c r="H76" s="180">
        <f t="shared" si="5"/>
        <v>43284</v>
      </c>
      <c r="I76" s="101">
        <f t="shared" si="3"/>
        <v>70</v>
      </c>
    </row>
    <row r="77" spans="1:9" x14ac:dyDescent="0.15">
      <c r="A77" s="209"/>
      <c r="B77" s="172" t="s">
        <v>298</v>
      </c>
      <c r="C77" s="173">
        <f>C76+E15</f>
        <v>43289</v>
      </c>
      <c r="D77" s="144">
        <f t="shared" si="13"/>
        <v>1</v>
      </c>
      <c r="E77" s="175">
        <f t="shared" si="10"/>
        <v>43290</v>
      </c>
      <c r="F77" s="101">
        <f>施工天数计算!$J$23</f>
        <v>25</v>
      </c>
      <c r="H77" s="180">
        <f t="shared" si="5"/>
        <v>43285</v>
      </c>
      <c r="I77" s="101">
        <f t="shared" si="3"/>
        <v>53</v>
      </c>
    </row>
    <row r="78" spans="1:9" x14ac:dyDescent="0.15">
      <c r="A78" s="209"/>
      <c r="B78" s="168" t="s">
        <v>299</v>
      </c>
      <c r="C78" s="173">
        <f>C77+E16+E27</f>
        <v>43292</v>
      </c>
      <c r="D78" s="144">
        <f t="shared" si="13"/>
        <v>3</v>
      </c>
      <c r="E78" s="175">
        <f t="shared" si="10"/>
        <v>43295</v>
      </c>
      <c r="F78" s="101">
        <f>施工天数计算!$D$24+施工天数计算!$J$25</f>
        <v>60</v>
      </c>
      <c r="H78" s="180">
        <f t="shared" si="5"/>
        <v>43286</v>
      </c>
      <c r="I78" s="101">
        <f t="shared" si="3"/>
        <v>36</v>
      </c>
    </row>
    <row r="79" spans="1:9" x14ac:dyDescent="0.15">
      <c r="A79" s="209"/>
      <c r="B79" s="167" t="s">
        <v>300</v>
      </c>
      <c r="C79" s="173">
        <f>E72</f>
        <v>43282</v>
      </c>
      <c r="D79" s="174">
        <f>D10</f>
        <v>1</v>
      </c>
      <c r="E79" s="175">
        <f t="shared" si="10"/>
        <v>43283</v>
      </c>
      <c r="F79" s="101">
        <f>施工天数计算!$D$28</f>
        <v>18</v>
      </c>
      <c r="H79" s="180">
        <f t="shared" si="5"/>
        <v>43287</v>
      </c>
      <c r="I79" s="101">
        <f t="shared" si="3"/>
        <v>18</v>
      </c>
    </row>
    <row r="80" spans="1:9" x14ac:dyDescent="0.15">
      <c r="A80" s="209"/>
      <c r="B80" s="168" t="s">
        <v>301</v>
      </c>
      <c r="C80" s="173">
        <f>C79+E11</f>
        <v>43283</v>
      </c>
      <c r="D80" s="174">
        <f t="shared" ref="D80:D84" si="14">D11</f>
        <v>1</v>
      </c>
      <c r="E80" s="175">
        <f t="shared" si="10"/>
        <v>43284</v>
      </c>
      <c r="F80" s="101">
        <f>施工天数计算!$D$29</f>
        <v>35</v>
      </c>
      <c r="H80" s="180">
        <f t="shared" si="5"/>
        <v>43288</v>
      </c>
      <c r="I80" s="101">
        <f t="shared" si="3"/>
        <v>25</v>
      </c>
    </row>
    <row r="81" spans="1:9" x14ac:dyDescent="0.15">
      <c r="A81" s="209"/>
      <c r="B81" s="169" t="s">
        <v>302</v>
      </c>
      <c r="C81" s="173">
        <f>C80+E12</f>
        <v>43284</v>
      </c>
      <c r="D81" s="174">
        <f t="shared" si="14"/>
        <v>2</v>
      </c>
      <c r="E81" s="175">
        <f t="shared" si="10"/>
        <v>43286</v>
      </c>
      <c r="F81" s="101">
        <f>施工天数计算!$D$32</f>
        <v>35</v>
      </c>
      <c r="H81" s="180">
        <f t="shared" si="5"/>
        <v>43289</v>
      </c>
      <c r="I81" s="101">
        <f t="shared" si="3"/>
        <v>50</v>
      </c>
    </row>
    <row r="82" spans="1:9" x14ac:dyDescent="0.15">
      <c r="A82" s="209"/>
      <c r="B82" s="169" t="s">
        <v>303</v>
      </c>
      <c r="C82" s="173">
        <f>C81+E13</f>
        <v>43286</v>
      </c>
      <c r="D82" s="174">
        <f t="shared" si="14"/>
        <v>2</v>
      </c>
      <c r="E82" s="175">
        <f t="shared" si="10"/>
        <v>43288</v>
      </c>
      <c r="F82" s="101">
        <f>施工天数计算!$J$28</f>
        <v>18</v>
      </c>
      <c r="H82" s="180">
        <f t="shared" si="5"/>
        <v>43290</v>
      </c>
      <c r="I82" s="101">
        <f t="shared" si="3"/>
        <v>25</v>
      </c>
    </row>
    <row r="83" spans="1:9" x14ac:dyDescent="0.15">
      <c r="A83" s="209"/>
      <c r="B83" s="171" t="s">
        <v>304</v>
      </c>
      <c r="C83" s="173">
        <f>C82+E14</f>
        <v>43289</v>
      </c>
      <c r="D83" s="174">
        <f t="shared" si="14"/>
        <v>1</v>
      </c>
      <c r="E83" s="175">
        <f t="shared" si="10"/>
        <v>43290</v>
      </c>
      <c r="F83" s="101">
        <f>施工天数计算!$D$30</f>
        <v>25</v>
      </c>
      <c r="H83" s="180">
        <f t="shared" si="5"/>
        <v>43291</v>
      </c>
      <c r="I83" s="101">
        <f t="shared" si="3"/>
        <v>0</v>
      </c>
    </row>
    <row r="84" spans="1:9" x14ac:dyDescent="0.15">
      <c r="A84" s="209"/>
      <c r="B84" s="172" t="s">
        <v>305</v>
      </c>
      <c r="C84" s="173">
        <f>C83+E15</f>
        <v>43290</v>
      </c>
      <c r="D84" s="174">
        <f t="shared" si="14"/>
        <v>1</v>
      </c>
      <c r="E84" s="175">
        <f t="shared" si="10"/>
        <v>43291</v>
      </c>
      <c r="F84" s="101">
        <f>施工天数计算!$J$30</f>
        <v>25</v>
      </c>
      <c r="H84" s="180">
        <f t="shared" si="5"/>
        <v>43292</v>
      </c>
      <c r="I84" s="101">
        <f t="shared" si="3"/>
        <v>60</v>
      </c>
    </row>
    <row r="85" spans="1:9" x14ac:dyDescent="0.15">
      <c r="A85" s="209"/>
      <c r="B85" s="168" t="s">
        <v>306</v>
      </c>
      <c r="C85" s="173">
        <f>C84+E16+E27</f>
        <v>43293</v>
      </c>
      <c r="D85" s="174">
        <f>D16</f>
        <v>2</v>
      </c>
      <c r="E85" s="175">
        <f t="shared" si="10"/>
        <v>43295</v>
      </c>
      <c r="F85" s="101">
        <f>施工天数计算!$D$31+施工天数计算!$J$32</f>
        <v>60</v>
      </c>
      <c r="H85" s="180">
        <f t="shared" si="5"/>
        <v>43293</v>
      </c>
      <c r="I85" s="101">
        <f t="shared" si="3"/>
        <v>120</v>
      </c>
    </row>
    <row r="86" spans="1:9" x14ac:dyDescent="0.15">
      <c r="A86" s="209" t="s">
        <v>307</v>
      </c>
      <c r="B86" s="167" t="s">
        <v>308</v>
      </c>
      <c r="C86" s="175">
        <f>C78+E18</f>
        <v>43296</v>
      </c>
      <c r="D86" s="144">
        <f>C18</f>
        <v>1</v>
      </c>
      <c r="E86" s="175">
        <f t="shared" si="10"/>
        <v>43297</v>
      </c>
      <c r="F86" s="101">
        <f>施工天数计算!D38</f>
        <v>18</v>
      </c>
      <c r="H86" s="180">
        <f t="shared" si="5"/>
        <v>43294</v>
      </c>
      <c r="I86" s="101">
        <f t="shared" si="3"/>
        <v>120</v>
      </c>
    </row>
    <row r="87" spans="1:9" x14ac:dyDescent="0.15">
      <c r="A87" s="209"/>
      <c r="B87" s="168" t="s">
        <v>309</v>
      </c>
      <c r="C87" s="173">
        <f>C86+E19</f>
        <v>43297</v>
      </c>
      <c r="D87" s="144">
        <f t="shared" ref="D87:D92" si="15">C19</f>
        <v>1</v>
      </c>
      <c r="E87" s="175">
        <f t="shared" si="10"/>
        <v>43298</v>
      </c>
      <c r="F87" s="101">
        <f>施工天数计算!D39</f>
        <v>35</v>
      </c>
      <c r="H87" s="180">
        <f t="shared" si="5"/>
        <v>43295</v>
      </c>
      <c r="I87" s="101">
        <f t="shared" si="3"/>
        <v>0</v>
      </c>
    </row>
    <row r="88" spans="1:9" x14ac:dyDescent="0.15">
      <c r="A88" s="209"/>
      <c r="B88" s="169" t="s">
        <v>310</v>
      </c>
      <c r="C88" s="173">
        <f>C87+E20</f>
        <v>43298</v>
      </c>
      <c r="D88" s="144">
        <f t="shared" si="15"/>
        <v>2</v>
      </c>
      <c r="E88" s="175">
        <f t="shared" si="10"/>
        <v>43300</v>
      </c>
      <c r="F88" s="101">
        <f>施工天数计算!D42</f>
        <v>35</v>
      </c>
      <c r="H88" s="180">
        <f t="shared" si="5"/>
        <v>43296</v>
      </c>
      <c r="I88" s="101">
        <f t="shared" si="3"/>
        <v>18</v>
      </c>
    </row>
    <row r="89" spans="1:9" x14ac:dyDescent="0.15">
      <c r="A89" s="209"/>
      <c r="B89" s="169" t="s">
        <v>311</v>
      </c>
      <c r="C89" s="173">
        <f>C88+E21</f>
        <v>43300</v>
      </c>
      <c r="D89" s="144">
        <f t="shared" si="15"/>
        <v>2</v>
      </c>
      <c r="E89" s="175">
        <f t="shared" si="10"/>
        <v>43302</v>
      </c>
      <c r="F89" s="101">
        <f>施工天数计算!J38</f>
        <v>18</v>
      </c>
      <c r="H89" s="180">
        <f t="shared" si="5"/>
        <v>43297</v>
      </c>
      <c r="I89" s="101">
        <f t="shared" si="3"/>
        <v>53</v>
      </c>
    </row>
    <row r="90" spans="1:9" x14ac:dyDescent="0.15">
      <c r="A90" s="209"/>
      <c r="B90" s="171" t="s">
        <v>312</v>
      </c>
      <c r="C90" s="173">
        <f>C89+E22</f>
        <v>43302</v>
      </c>
      <c r="D90" s="144">
        <f t="shared" si="15"/>
        <v>1</v>
      </c>
      <c r="E90" s="175">
        <f t="shared" si="10"/>
        <v>43303</v>
      </c>
      <c r="F90" s="101">
        <f>施工天数计算!D40</f>
        <v>25</v>
      </c>
      <c r="H90" s="180">
        <f t="shared" si="5"/>
        <v>43298</v>
      </c>
      <c r="I90" s="101">
        <f t="shared" si="3"/>
        <v>70</v>
      </c>
    </row>
    <row r="91" spans="1:9" x14ac:dyDescent="0.15">
      <c r="A91" s="209"/>
      <c r="B91" s="172" t="s">
        <v>313</v>
      </c>
      <c r="C91" s="173">
        <f>C90+E23</f>
        <v>43303</v>
      </c>
      <c r="D91" s="144">
        <f t="shared" si="15"/>
        <v>1</v>
      </c>
      <c r="E91" s="175">
        <f t="shared" si="10"/>
        <v>43304</v>
      </c>
      <c r="F91" s="101">
        <f>施工天数计算!J40</f>
        <v>25</v>
      </c>
      <c r="H91" s="180">
        <f t="shared" si="5"/>
        <v>43299</v>
      </c>
      <c r="I91" s="101">
        <f t="shared" si="3"/>
        <v>70</v>
      </c>
    </row>
    <row r="92" spans="1:9" x14ac:dyDescent="0.15">
      <c r="A92" s="209"/>
      <c r="B92" s="168" t="s">
        <v>314</v>
      </c>
      <c r="C92" s="173">
        <f>C91+E24+E27</f>
        <v>43306</v>
      </c>
      <c r="D92" s="144">
        <f t="shared" si="15"/>
        <v>3</v>
      </c>
      <c r="E92" s="175">
        <f t="shared" si="10"/>
        <v>43309</v>
      </c>
      <c r="F92" s="101">
        <f>施工天数计算!D41+施工天数计算!J42</f>
        <v>60</v>
      </c>
      <c r="H92" s="180">
        <f t="shared" si="5"/>
        <v>43300</v>
      </c>
      <c r="I92" s="101">
        <f t="shared" si="3"/>
        <v>53</v>
      </c>
    </row>
    <row r="93" spans="1:9" x14ac:dyDescent="0.15">
      <c r="A93" s="209"/>
      <c r="B93" s="167" t="s">
        <v>315</v>
      </c>
      <c r="C93" s="173">
        <f>E86</f>
        <v>43297</v>
      </c>
      <c r="D93" s="174">
        <f>D18</f>
        <v>1</v>
      </c>
      <c r="E93" s="175">
        <f t="shared" si="10"/>
        <v>43298</v>
      </c>
      <c r="F93" s="101">
        <f>施工天数计算!D45</f>
        <v>18</v>
      </c>
      <c r="H93" s="180">
        <f t="shared" si="5"/>
        <v>43301</v>
      </c>
      <c r="I93" s="101">
        <f t="shared" si="3"/>
        <v>36</v>
      </c>
    </row>
    <row r="94" spans="1:9" x14ac:dyDescent="0.15">
      <c r="A94" s="209"/>
      <c r="B94" s="168" t="s">
        <v>316</v>
      </c>
      <c r="C94" s="173">
        <f>C93+E19</f>
        <v>43298</v>
      </c>
      <c r="D94" s="174">
        <f t="shared" ref="D94:D99" si="16">D19</f>
        <v>1</v>
      </c>
      <c r="E94" s="175">
        <f t="shared" si="10"/>
        <v>43299</v>
      </c>
      <c r="F94" s="101">
        <f>施工天数计算!D46</f>
        <v>35</v>
      </c>
      <c r="H94" s="180">
        <f t="shared" si="5"/>
        <v>43302</v>
      </c>
      <c r="I94" s="101">
        <f t="shared" ref="I94:I101" si="17">SUMIFS($F$30:$F$99,$C$30:$C$99,"&lt;="&amp;H94,$E$30:$E$99,"&gt;"&amp;H94)</f>
        <v>25</v>
      </c>
    </row>
    <row r="95" spans="1:9" x14ac:dyDescent="0.15">
      <c r="A95" s="209"/>
      <c r="B95" s="169" t="s">
        <v>317</v>
      </c>
      <c r="C95" s="173">
        <f>C94+E20</f>
        <v>43299</v>
      </c>
      <c r="D95" s="174">
        <f t="shared" si="16"/>
        <v>2</v>
      </c>
      <c r="E95" s="175">
        <f t="shared" si="10"/>
        <v>43301</v>
      </c>
      <c r="F95" s="101">
        <f>施工天数计算!D49</f>
        <v>35</v>
      </c>
      <c r="H95" s="180">
        <f t="shared" ref="H95:H101" si="18">H94+1</f>
        <v>43303</v>
      </c>
      <c r="I95" s="101">
        <f t="shared" si="17"/>
        <v>50</v>
      </c>
    </row>
    <row r="96" spans="1:9" x14ac:dyDescent="0.15">
      <c r="A96" s="209"/>
      <c r="B96" s="169" t="s">
        <v>318</v>
      </c>
      <c r="C96" s="173">
        <f>C95+E21</f>
        <v>43301</v>
      </c>
      <c r="D96" s="174">
        <f t="shared" si="16"/>
        <v>1</v>
      </c>
      <c r="E96" s="175">
        <f t="shared" si="10"/>
        <v>43302</v>
      </c>
      <c r="F96" s="101">
        <f>施工天数计算!J38</f>
        <v>18</v>
      </c>
      <c r="H96" s="180">
        <f t="shared" si="18"/>
        <v>43304</v>
      </c>
      <c r="I96" s="101">
        <f t="shared" si="17"/>
        <v>25</v>
      </c>
    </row>
    <row r="97" spans="1:9" x14ac:dyDescent="0.15">
      <c r="A97" s="209"/>
      <c r="B97" s="171" t="s">
        <v>319</v>
      </c>
      <c r="C97" s="173">
        <f>C96+E22</f>
        <v>43303</v>
      </c>
      <c r="D97" s="174">
        <f t="shared" si="16"/>
        <v>1</v>
      </c>
      <c r="E97" s="175">
        <f t="shared" si="10"/>
        <v>43304</v>
      </c>
      <c r="F97" s="101">
        <f>施工天数计算!D47</f>
        <v>25</v>
      </c>
      <c r="H97" s="180">
        <f t="shared" si="18"/>
        <v>43305</v>
      </c>
      <c r="I97" s="101">
        <f t="shared" si="17"/>
        <v>0</v>
      </c>
    </row>
    <row r="98" spans="1:9" x14ac:dyDescent="0.15">
      <c r="A98" s="209"/>
      <c r="B98" s="172" t="s">
        <v>320</v>
      </c>
      <c r="C98" s="173">
        <f>C97+E23</f>
        <v>43304</v>
      </c>
      <c r="D98" s="174">
        <f t="shared" si="16"/>
        <v>1</v>
      </c>
      <c r="E98" s="175">
        <f t="shared" si="10"/>
        <v>43305</v>
      </c>
      <c r="F98" s="101">
        <f>施工天数计算!J47</f>
        <v>25</v>
      </c>
      <c r="H98" s="180">
        <f t="shared" si="18"/>
        <v>43306</v>
      </c>
      <c r="I98" s="101">
        <f t="shared" si="17"/>
        <v>60</v>
      </c>
    </row>
    <row r="99" spans="1:9" x14ac:dyDescent="0.15">
      <c r="A99" s="209"/>
      <c r="B99" s="168" t="s">
        <v>321</v>
      </c>
      <c r="C99" s="173">
        <f>C98+E24+E27</f>
        <v>43307</v>
      </c>
      <c r="D99" s="174">
        <f t="shared" si="16"/>
        <v>2</v>
      </c>
      <c r="E99" s="175">
        <f t="shared" si="10"/>
        <v>43309</v>
      </c>
      <c r="F99" s="101">
        <f>施工天数计算!D48+施工天数计算!J49</f>
        <v>60</v>
      </c>
      <c r="H99" s="180">
        <f>H98+1</f>
        <v>43307</v>
      </c>
      <c r="I99" s="101">
        <f t="shared" si="17"/>
        <v>120</v>
      </c>
    </row>
    <row r="100" spans="1:9" x14ac:dyDescent="0.15">
      <c r="A100" s="182"/>
      <c r="H100" s="180">
        <f>H99+1</f>
        <v>43308</v>
      </c>
      <c r="I100" s="101">
        <f t="shared" si="17"/>
        <v>120</v>
      </c>
    </row>
    <row r="101" spans="1:9" x14ac:dyDescent="0.15">
      <c r="A101" s="70"/>
      <c r="B101" s="150"/>
      <c r="C101" s="151"/>
      <c r="D101" s="166"/>
      <c r="E101" s="151"/>
      <c r="H101" s="180">
        <f t="shared" si="18"/>
        <v>43309</v>
      </c>
      <c r="I101" s="101">
        <f t="shared" si="17"/>
        <v>0</v>
      </c>
    </row>
    <row r="102" spans="1:9" x14ac:dyDescent="0.15">
      <c r="A102" s="70"/>
      <c r="B102" s="181"/>
      <c r="C102" s="181"/>
      <c r="D102" s="260"/>
      <c r="E102" s="260"/>
    </row>
    <row r="103" spans="1:9" x14ac:dyDescent="0.15">
      <c r="A103" s="70"/>
      <c r="C103" s="152"/>
      <c r="D103" s="152"/>
    </row>
    <row r="104" spans="1:9" x14ac:dyDescent="0.15">
      <c r="A104" s="70"/>
      <c r="C104" s="152"/>
      <c r="D104" s="152"/>
    </row>
    <row r="105" spans="1:9" x14ac:dyDescent="0.15">
      <c r="A105" s="70"/>
      <c r="C105" s="152"/>
      <c r="D105" s="152"/>
    </row>
    <row r="106" spans="1:9" x14ac:dyDescent="0.15">
      <c r="A106" s="70"/>
      <c r="C106" s="152"/>
      <c r="D106" s="152"/>
    </row>
    <row r="107" spans="1:9" x14ac:dyDescent="0.15">
      <c r="A107" s="70"/>
      <c r="C107" s="152"/>
      <c r="D107" s="152"/>
    </row>
    <row r="108" spans="1:9" x14ac:dyDescent="0.15">
      <c r="A108" s="70"/>
      <c r="C108" s="152"/>
      <c r="D108" s="152"/>
    </row>
    <row r="109" spans="1:9" x14ac:dyDescent="0.15">
      <c r="A109" s="70"/>
      <c r="C109" s="152"/>
      <c r="D109" s="152"/>
    </row>
    <row r="110" spans="1:9" x14ac:dyDescent="0.15">
      <c r="C110" s="152"/>
      <c r="D110" s="152"/>
    </row>
    <row r="111" spans="1:9" x14ac:dyDescent="0.15">
      <c r="C111" s="152"/>
      <c r="D111" s="152"/>
    </row>
    <row r="112" spans="1:9" x14ac:dyDescent="0.15">
      <c r="C112" s="152"/>
      <c r="D112" s="152"/>
    </row>
    <row r="113" spans="3:4" x14ac:dyDescent="0.15">
      <c r="C113" s="152"/>
      <c r="D113" s="152"/>
    </row>
    <row r="114" spans="3:4" x14ac:dyDescent="0.15">
      <c r="C114" s="152"/>
      <c r="D114" s="152"/>
    </row>
    <row r="115" spans="3:4" x14ac:dyDescent="0.15">
      <c r="C115" s="152"/>
      <c r="D115" s="152"/>
    </row>
    <row r="116" spans="3:4" x14ac:dyDescent="0.15">
      <c r="C116" s="152"/>
      <c r="D116" s="152"/>
    </row>
    <row r="117" spans="3:4" x14ac:dyDescent="0.15">
      <c r="C117" s="152"/>
      <c r="D117" s="152"/>
    </row>
    <row r="118" spans="3:4" x14ac:dyDescent="0.15">
      <c r="C118" s="152"/>
      <c r="D118" s="152"/>
    </row>
    <row r="119" spans="3:4" x14ac:dyDescent="0.15">
      <c r="C119" s="152"/>
      <c r="D119" s="152"/>
    </row>
    <row r="120" spans="3:4" x14ac:dyDescent="0.15">
      <c r="C120" s="152"/>
      <c r="D120" s="152"/>
    </row>
    <row r="121" spans="3:4" x14ac:dyDescent="0.15">
      <c r="C121" s="152"/>
      <c r="D121" s="152"/>
    </row>
    <row r="122" spans="3:4" x14ac:dyDescent="0.15">
      <c r="C122" s="152"/>
      <c r="D122" s="152"/>
    </row>
    <row r="123" spans="3:4" x14ac:dyDescent="0.15">
      <c r="C123" s="152"/>
      <c r="D123" s="152"/>
    </row>
    <row r="124" spans="3:4" x14ac:dyDescent="0.15">
      <c r="C124" s="152"/>
      <c r="D124" s="152"/>
    </row>
    <row r="125" spans="3:4" x14ac:dyDescent="0.15">
      <c r="C125" s="152"/>
      <c r="D125" s="152"/>
    </row>
    <row r="126" spans="3:4" x14ac:dyDescent="0.15">
      <c r="C126" s="152"/>
      <c r="D126" s="152"/>
    </row>
    <row r="127" spans="3:4" x14ac:dyDescent="0.15">
      <c r="C127" s="152"/>
      <c r="D127" s="152"/>
    </row>
    <row r="128" spans="3:4" x14ac:dyDescent="0.15">
      <c r="C128" s="152"/>
      <c r="D128" s="152"/>
    </row>
    <row r="129" spans="3:4" x14ac:dyDescent="0.15">
      <c r="C129" s="152"/>
      <c r="D129" s="152"/>
    </row>
    <row r="130" spans="3:4" x14ac:dyDescent="0.15">
      <c r="C130" s="152"/>
      <c r="D130" s="152"/>
    </row>
    <row r="131" spans="3:4" x14ac:dyDescent="0.15">
      <c r="C131" s="152"/>
      <c r="D131" s="152"/>
    </row>
    <row r="132" spans="3:4" x14ac:dyDescent="0.15">
      <c r="C132" s="152"/>
      <c r="D132" s="152"/>
    </row>
    <row r="133" spans="3:4" x14ac:dyDescent="0.15">
      <c r="C133" s="152"/>
      <c r="D133" s="152"/>
    </row>
    <row r="134" spans="3:4" x14ac:dyDescent="0.15">
      <c r="C134" s="152"/>
      <c r="D134" s="152"/>
    </row>
    <row r="135" spans="3:4" x14ac:dyDescent="0.15">
      <c r="C135" s="152"/>
      <c r="D135" s="152"/>
    </row>
    <row r="136" spans="3:4" x14ac:dyDescent="0.15">
      <c r="C136" s="152"/>
      <c r="D136" s="152"/>
    </row>
    <row r="137" spans="3:4" x14ac:dyDescent="0.15">
      <c r="C137" s="152"/>
      <c r="D137" s="152"/>
    </row>
    <row r="138" spans="3:4" x14ac:dyDescent="0.15">
      <c r="C138" s="152"/>
      <c r="D138" s="152"/>
    </row>
    <row r="139" spans="3:4" x14ac:dyDescent="0.15">
      <c r="C139" s="152"/>
      <c r="D139" s="152"/>
    </row>
    <row r="140" spans="3:4" x14ac:dyDescent="0.15">
      <c r="C140" s="152"/>
      <c r="D140" s="152"/>
    </row>
    <row r="141" spans="3:4" x14ac:dyDescent="0.15">
      <c r="C141" s="152"/>
      <c r="D141" s="152"/>
    </row>
    <row r="142" spans="3:4" x14ac:dyDescent="0.15">
      <c r="C142" s="152"/>
      <c r="D142" s="152"/>
    </row>
    <row r="143" spans="3:4" x14ac:dyDescent="0.15">
      <c r="C143" s="152"/>
      <c r="D143" s="152"/>
    </row>
    <row r="144" spans="3:4" x14ac:dyDescent="0.15">
      <c r="C144" s="152"/>
      <c r="D144" s="152"/>
    </row>
    <row r="145" spans="3:4" x14ac:dyDescent="0.15">
      <c r="C145" s="152"/>
      <c r="D145" s="152"/>
    </row>
    <row r="146" spans="3:4" x14ac:dyDescent="0.15">
      <c r="C146" s="152"/>
      <c r="D146" s="152"/>
    </row>
    <row r="147" spans="3:4" x14ac:dyDescent="0.15">
      <c r="C147" s="152"/>
      <c r="D147" s="152"/>
    </row>
    <row r="148" spans="3:4" x14ac:dyDescent="0.15">
      <c r="C148" s="152"/>
      <c r="D148" s="152"/>
    </row>
    <row r="149" spans="3:4" x14ac:dyDescent="0.15">
      <c r="C149" s="152"/>
      <c r="D149" s="152"/>
    </row>
    <row r="150" spans="3:4" x14ac:dyDescent="0.15">
      <c r="C150" s="152"/>
      <c r="D150" s="152"/>
    </row>
    <row r="151" spans="3:4" x14ac:dyDescent="0.15">
      <c r="C151" s="152"/>
      <c r="D151" s="152"/>
    </row>
    <row r="152" spans="3:4" x14ac:dyDescent="0.15">
      <c r="C152" s="152"/>
      <c r="D152" s="152"/>
    </row>
    <row r="153" spans="3:4" x14ac:dyDescent="0.15">
      <c r="C153" s="152"/>
      <c r="D153" s="152"/>
    </row>
    <row r="154" spans="3:4" x14ac:dyDescent="0.15">
      <c r="C154" s="152"/>
      <c r="D154" s="152"/>
    </row>
    <row r="155" spans="3:4" x14ac:dyDescent="0.15">
      <c r="C155" s="152"/>
      <c r="D155" s="152"/>
    </row>
    <row r="156" spans="3:4" x14ac:dyDescent="0.15">
      <c r="C156" s="152"/>
      <c r="D156" s="152"/>
    </row>
    <row r="157" spans="3:4" x14ac:dyDescent="0.15">
      <c r="C157" s="152"/>
      <c r="D157" s="152"/>
    </row>
    <row r="158" spans="3:4" x14ac:dyDescent="0.15">
      <c r="C158" s="152"/>
      <c r="D158" s="152"/>
    </row>
    <row r="159" spans="3:4" x14ac:dyDescent="0.15">
      <c r="C159" s="152"/>
      <c r="D159" s="152"/>
    </row>
    <row r="160" spans="3:4" x14ac:dyDescent="0.15">
      <c r="C160" s="152"/>
      <c r="D160" s="152"/>
    </row>
    <row r="161" spans="3:4" x14ac:dyDescent="0.15">
      <c r="C161" s="152"/>
      <c r="D161" s="152"/>
    </row>
    <row r="162" spans="3:4" x14ac:dyDescent="0.15">
      <c r="C162" s="152"/>
      <c r="D162" s="152"/>
    </row>
    <row r="163" spans="3:4" x14ac:dyDescent="0.15">
      <c r="C163" s="152"/>
      <c r="D163" s="152"/>
    </row>
    <row r="164" spans="3:4" x14ac:dyDescent="0.15">
      <c r="C164" s="152"/>
      <c r="D164" s="152"/>
    </row>
    <row r="165" spans="3:4" x14ac:dyDescent="0.15">
      <c r="C165" s="152"/>
      <c r="D165" s="152"/>
    </row>
    <row r="166" spans="3:4" x14ac:dyDescent="0.15">
      <c r="C166" s="152"/>
      <c r="D166" s="152"/>
    </row>
    <row r="167" spans="3:4" x14ac:dyDescent="0.15">
      <c r="C167" s="152"/>
      <c r="D167" s="152"/>
    </row>
  </sheetData>
  <mergeCells count="12">
    <mergeCell ref="D102:E102"/>
    <mergeCell ref="A27:C27"/>
    <mergeCell ref="A30:A43"/>
    <mergeCell ref="A44:A57"/>
    <mergeCell ref="A58:A71"/>
    <mergeCell ref="A72:A85"/>
    <mergeCell ref="A86:A99"/>
    <mergeCell ref="D28:F28"/>
    <mergeCell ref="E27:F27"/>
    <mergeCell ref="A3:A9"/>
    <mergeCell ref="A10:A17"/>
    <mergeCell ref="A18:A24"/>
  </mergeCells>
  <phoneticPr fontId="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topLeftCell="C28" zoomScale="80" zoomScaleNormal="80" workbookViewId="0">
      <selection activeCell="Y82" sqref="Y82"/>
    </sheetView>
  </sheetViews>
  <sheetFormatPr defaultRowHeight="13.5" x14ac:dyDescent="0.15"/>
  <cols>
    <col min="2" max="2" width="0" hidden="1" customWidth="1"/>
  </cols>
  <sheetData/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土方开挖</vt:lpstr>
      <vt:lpstr>基础钢筋量</vt:lpstr>
      <vt:lpstr>柱工程量计算</vt:lpstr>
      <vt:lpstr>梁的工程量的计算</vt:lpstr>
      <vt:lpstr>板的工程量计算</vt:lpstr>
      <vt:lpstr>工程量统计</vt:lpstr>
      <vt:lpstr>施工天数计算</vt:lpstr>
      <vt:lpstr>排计划</vt:lpstr>
      <vt:lpstr>流水施工图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(0~0)</dc:creator>
  <cp:lastModifiedBy>田春光</cp:lastModifiedBy>
  <cp:lastPrinted>2019-05-24T01:11:57Z</cp:lastPrinted>
  <dcterms:created xsi:type="dcterms:W3CDTF">2019-03-25T13:27:40Z</dcterms:created>
  <dcterms:modified xsi:type="dcterms:W3CDTF">2019-05-24T01:13:55Z</dcterms:modified>
</cp:coreProperties>
</file>